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defaultThemeVersion="124226"/>
  <bookViews>
    <workbookView xWindow="480" yWindow="1920" windowWidth="10800" windowHeight="3705" tabRatio="955"/>
  </bookViews>
  <sheets>
    <sheet name="COVER" sheetId="1" r:id="rId1"/>
    <sheet name="Table of Content" sheetId="61" r:id="rId2"/>
    <sheet name="Introduction" sheetId="58" r:id="rId3"/>
    <sheet name="Other Legislations" sheetId="59" r:id="rId4"/>
    <sheet name="Strategy" sheetId="57" r:id="rId5"/>
    <sheet name="MTOD KPI's" sheetId="29" r:id="rId6"/>
    <sheet name="MTOD PROJECTS" sheetId="27" r:id="rId7"/>
    <sheet name="BSD PROJECTS" sheetId="40" r:id="rId8"/>
    <sheet name="LED PROJECTS" sheetId="41" r:id="rId9"/>
    <sheet name="MFMV KPI" sheetId="33" r:id="rId10"/>
    <sheet name="MFMV PROJECTS" sheetId="34" r:id="rId11"/>
    <sheet name="GGPP PROJECTS" sheetId="35" r:id="rId12"/>
    <sheet name="GGPP KPI's" sheetId="28" r:id="rId13"/>
    <sheet name="ROLL OVER PROJECTS" sheetId="44" r:id="rId14"/>
    <sheet name="SDBIP summary" sheetId="60" r:id="rId15"/>
    <sheet name="Finance Report" sheetId="45" r:id="rId16"/>
    <sheet name="Capital Projects" sheetId="46" r:id="rId17"/>
    <sheet name="Expendirure" sheetId="47" r:id="rId18"/>
    <sheet name="Icome" sheetId="48" r:id="rId19"/>
    <sheet name="Salaries" sheetId="49" r:id="rId20"/>
    <sheet name="Overtime" sheetId="50" r:id="rId21"/>
    <sheet name="Cash Flow" sheetId="51" r:id="rId22"/>
    <sheet name="Bank Balances" sheetId="52" r:id="rId23"/>
    <sheet name="Debtors" sheetId="53" r:id="rId24"/>
    <sheet name="FBE" sheetId="54" r:id="rId25"/>
    <sheet name="Grants" sheetId="55" r:id="rId26"/>
    <sheet name="Conclusion" sheetId="56" r:id="rId27"/>
  </sheets>
  <externalReferences>
    <externalReference r:id="rId28"/>
    <externalReference r:id="rId29"/>
    <externalReference r:id="rId30"/>
    <externalReference r:id="rId31"/>
    <externalReference r:id="rId32"/>
    <externalReference r:id="rId33"/>
  </externalReferences>
  <definedNames>
    <definedName name="ADJB14" localSheetId="7">'[1]Template names'!$B$90</definedName>
    <definedName name="ADJB14" localSheetId="8">'[1]Template names'!$B$90</definedName>
    <definedName name="ADJB14">'[2]Template names'!$B$90</definedName>
    <definedName name="Date" localSheetId="7">[1]Instructions!$X$10</definedName>
    <definedName name="Date" localSheetId="8">[1]Instructions!$X$10</definedName>
    <definedName name="Date">[2]Instructions!$X$10</definedName>
    <definedName name="desc">'[3]Template names'!$B$30</definedName>
    <definedName name="Head10">'[3]Template names'!$B$16</definedName>
    <definedName name="Head11">'[3]Template names'!$B$17</definedName>
    <definedName name="Head2" localSheetId="7">'[1]Template names'!$B$5</definedName>
    <definedName name="Head2" localSheetId="8">'[1]Template names'!$B$5</definedName>
    <definedName name="Head2">'[2]Template names'!$B$5</definedName>
    <definedName name="head27">'[3]Template names'!$B$33</definedName>
    <definedName name="head27a" localSheetId="7">'[1]Template names'!$B$22</definedName>
    <definedName name="head27a" localSheetId="8">'[1]Template names'!$B$22</definedName>
    <definedName name="head27a">'[2]Template names'!$B$22</definedName>
    <definedName name="Head5A" localSheetId="7">'[1]Template names'!$B$11</definedName>
    <definedName name="Head5A" localSheetId="8">'[1]Template names'!$B$11</definedName>
    <definedName name="Head5A">'[2]Template names'!$B$11</definedName>
    <definedName name="Head7" localSheetId="7">'[1]Template names'!$B$14</definedName>
    <definedName name="Head7" localSheetId="8">'[1]Template names'!$B$14</definedName>
    <definedName name="Head7">'[2]Template names'!$B$14</definedName>
    <definedName name="Head9">'[3]Template names'!$B$15</definedName>
    <definedName name="muni">'[3]Template names'!$B$93</definedName>
    <definedName name="OLE_LINK1" localSheetId="0">COVER!$M$38</definedName>
    <definedName name="_xlnm.Print_Area" localSheetId="7">'BSD PROJECTS'!$A$1:$N$88</definedName>
    <definedName name="_xlnm.Print_Area" localSheetId="0">COVER!$A$1:$K$52</definedName>
    <definedName name="_xlnm.Print_Area" localSheetId="17">Expendirure!$A$1:$G$91</definedName>
    <definedName name="_xlnm.Print_Area" localSheetId="15">'Finance Report'!$A$1:$B$28</definedName>
    <definedName name="_xlnm.Print_Area" localSheetId="11">'GGPP PROJECTS'!$A$1:$N$37</definedName>
    <definedName name="_xlnm.Print_Area" localSheetId="2">Introduction!$A$1:$A$17</definedName>
    <definedName name="_xlnm.Print_Area" localSheetId="8">'LED PROJECTS'!$A$1:$N$32</definedName>
    <definedName name="_xlnm.Print_Area" localSheetId="9">'MFMV KPI'!$A$1:$M$9</definedName>
    <definedName name="_xlnm.Print_Area" localSheetId="10">'MFMV PROJECTS'!$A$1:$N$14</definedName>
    <definedName name="_xlnm.Print_Area" localSheetId="5">'MTOD KPI''s'!$A$1:$M$26</definedName>
    <definedName name="_xlnm.Print_Area" localSheetId="6">'MTOD PROJECTS'!$A$1:$N$25</definedName>
    <definedName name="_xlnm.Print_Area" localSheetId="13">'ROLL OVER PROJECTS'!$A$1:$F$44</definedName>
    <definedName name="_xlnm.Print_Area" localSheetId="14">'SDBIP summary'!$A$1:$E$38</definedName>
    <definedName name="_xlnm.Print_Area" localSheetId="4">Strategy!$A$1:$B$3</definedName>
    <definedName name="_xlnm.Print_Titles" localSheetId="7">'BSD PROJECTS'!$1:$3</definedName>
    <definedName name="_xlnm.Print_Titles" localSheetId="12">'GGPP KPI''s'!$1:$3</definedName>
    <definedName name="_xlnm.Print_Titles" localSheetId="11">'GGPP PROJECTS'!$1:$3</definedName>
    <definedName name="_xlnm.Print_Titles" localSheetId="5">'MTOD KPI''s'!$1:$3</definedName>
    <definedName name="rr" localSheetId="7">'[1]Template names'!$B$21</definedName>
    <definedName name="rr" localSheetId="8">'[1]Template names'!$B$21</definedName>
    <definedName name="rr">'[2]Template names'!$B$21</definedName>
    <definedName name="rrrrrrr" localSheetId="7">'[1]Template names'!$B$18</definedName>
    <definedName name="rrrrrrr" localSheetId="8">'[1]Template names'!$B$18</definedName>
    <definedName name="rrrrrrr">'[2]Template names'!$B$18</definedName>
    <definedName name="SDBIP">'[1]Template names'!$B$14</definedName>
    <definedName name="TableA25" localSheetId="7">'[4]Template names'!$B$135</definedName>
    <definedName name="TableA25" localSheetId="8">'[4]Template names'!$B$135</definedName>
    <definedName name="TableA25">'[5]Template names'!$B$135</definedName>
    <definedName name="TableA28">'[3]Template names'!$B$138</definedName>
  </definedNames>
  <calcPr calcId="144525"/>
</workbook>
</file>

<file path=xl/calcChain.xml><?xml version="1.0" encoding="utf-8"?>
<calcChain xmlns="http://schemas.openxmlformats.org/spreadsheetml/2006/main">
  <c r="D25" i="55" l="1"/>
  <c r="E25" i="55" s="1"/>
  <c r="D19" i="55"/>
  <c r="E19" i="55" s="1"/>
  <c r="C19" i="55"/>
  <c r="B19" i="55"/>
  <c r="C13" i="55"/>
  <c r="B13" i="55"/>
  <c r="E13" i="55" s="1"/>
  <c r="D7" i="55"/>
  <c r="E7" i="55" s="1"/>
  <c r="C7" i="55"/>
  <c r="B7" i="55"/>
  <c r="D36" i="54"/>
  <c r="B39" i="53"/>
  <c r="C37" i="53"/>
  <c r="D37" i="53" s="1"/>
  <c r="G36" i="53"/>
  <c r="G35" i="53"/>
  <c r="G34" i="53"/>
  <c r="F30" i="53"/>
  <c r="C30" i="53"/>
  <c r="F28" i="53"/>
  <c r="E28" i="53"/>
  <c r="E30" i="53" s="1"/>
  <c r="D28" i="53"/>
  <c r="D30" i="53" s="1"/>
  <c r="C28" i="53"/>
  <c r="B28" i="53"/>
  <c r="B30" i="53" s="1"/>
  <c r="G24" i="53"/>
  <c r="G20" i="53"/>
  <c r="G18" i="53"/>
  <c r="G16" i="53"/>
  <c r="E7" i="53"/>
  <c r="E4" i="53"/>
  <c r="E3" i="53"/>
  <c r="E5" i="53" s="1"/>
  <c r="C43" i="52"/>
  <c r="B6" i="52"/>
  <c r="K34" i="51"/>
  <c r="K33" i="51"/>
  <c r="J33" i="51"/>
  <c r="H33" i="51"/>
  <c r="N32" i="51"/>
  <c r="N31" i="51"/>
  <c r="G31" i="51"/>
  <c r="F31" i="51"/>
  <c r="D31" i="51"/>
  <c r="C31" i="51"/>
  <c r="B31" i="51"/>
  <c r="M28" i="51"/>
  <c r="M33" i="51" s="1"/>
  <c r="M34" i="51" s="1"/>
  <c r="L28" i="51"/>
  <c r="L33" i="51" s="1"/>
  <c r="L34" i="51" s="1"/>
  <c r="K28" i="51"/>
  <c r="J28" i="51"/>
  <c r="I28" i="51"/>
  <c r="I33" i="51" s="1"/>
  <c r="H28" i="51"/>
  <c r="G28" i="51"/>
  <c r="G33" i="51" s="1"/>
  <c r="E28" i="51"/>
  <c r="E33" i="51" s="1"/>
  <c r="D28" i="51"/>
  <c r="D33" i="51" s="1"/>
  <c r="G27" i="51"/>
  <c r="F27" i="51"/>
  <c r="C27" i="51"/>
  <c r="B27" i="51"/>
  <c r="N27" i="51" s="1"/>
  <c r="N26" i="51"/>
  <c r="N25" i="51"/>
  <c r="N24" i="51"/>
  <c r="G23" i="51"/>
  <c r="F23" i="51"/>
  <c r="D23" i="51"/>
  <c r="C23" i="51"/>
  <c r="B23" i="51"/>
  <c r="N23" i="51" s="1"/>
  <c r="G22" i="51"/>
  <c r="F22" i="51"/>
  <c r="F28" i="51" s="1"/>
  <c r="F33" i="51" s="1"/>
  <c r="D22" i="51"/>
  <c r="C22" i="51"/>
  <c r="C28" i="51" s="1"/>
  <c r="C33" i="51" s="1"/>
  <c r="B22" i="51"/>
  <c r="B28" i="51" s="1"/>
  <c r="B33" i="51" s="1"/>
  <c r="M19" i="51"/>
  <c r="L19" i="51"/>
  <c r="K19" i="51"/>
  <c r="J19" i="51"/>
  <c r="J34" i="51" s="1"/>
  <c r="I19" i="51"/>
  <c r="H19" i="51"/>
  <c r="H34" i="51" s="1"/>
  <c r="E19" i="51"/>
  <c r="E34" i="51" s="1"/>
  <c r="G14" i="51"/>
  <c r="G19" i="51" s="1"/>
  <c r="G34" i="51" s="1"/>
  <c r="E14" i="51"/>
  <c r="D14" i="51"/>
  <c r="D19" i="51" s="1"/>
  <c r="D34" i="51" s="1"/>
  <c r="G13" i="51"/>
  <c r="F13" i="51"/>
  <c r="F14" i="51" s="1"/>
  <c r="F19" i="51" s="1"/>
  <c r="F34" i="51" s="1"/>
  <c r="D13" i="51"/>
  <c r="C13" i="51"/>
  <c r="C14" i="51" s="1"/>
  <c r="C19" i="51" s="1"/>
  <c r="B13" i="51"/>
  <c r="N13" i="51" s="1"/>
  <c r="C12" i="51"/>
  <c r="B12" i="51"/>
  <c r="N12" i="51" s="1"/>
  <c r="N11" i="51"/>
  <c r="N10" i="51"/>
  <c r="N9" i="51"/>
  <c r="N8" i="51"/>
  <c r="N7" i="51"/>
  <c r="N6" i="51"/>
  <c r="N5" i="51"/>
  <c r="N4" i="51"/>
  <c r="N3" i="51"/>
  <c r="N14" i="51" s="1"/>
  <c r="N19" i="51" s="1"/>
  <c r="E62" i="50"/>
  <c r="F62" i="50" s="1"/>
  <c r="D62" i="50"/>
  <c r="F58" i="50"/>
  <c r="F55" i="50"/>
  <c r="F52" i="50"/>
  <c r="F49" i="50"/>
  <c r="F47" i="50"/>
  <c r="F44" i="50"/>
  <c r="F40" i="50"/>
  <c r="F38" i="50"/>
  <c r="F36" i="50"/>
  <c r="F34" i="50"/>
  <c r="F30" i="50"/>
  <c r="F27" i="50"/>
  <c r="F20" i="50"/>
  <c r="F17" i="50"/>
  <c r="F14" i="50"/>
  <c r="F11" i="50"/>
  <c r="F5" i="50"/>
  <c r="E28" i="49"/>
  <c r="D28" i="49"/>
  <c r="C28" i="49"/>
  <c r="B21" i="49"/>
  <c r="D18" i="49"/>
  <c r="C18" i="49"/>
  <c r="E18" i="49" s="1"/>
  <c r="D17" i="49"/>
  <c r="C17" i="49"/>
  <c r="E17" i="49" s="1"/>
  <c r="E16" i="49"/>
  <c r="D16" i="49"/>
  <c r="C16" i="49"/>
  <c r="E15" i="49"/>
  <c r="D15" i="49"/>
  <c r="C15" i="49"/>
  <c r="D14" i="49"/>
  <c r="C14" i="49"/>
  <c r="E14" i="49" s="1"/>
  <c r="D13" i="49"/>
  <c r="C13" i="49"/>
  <c r="E13" i="49" s="1"/>
  <c r="E12" i="49"/>
  <c r="D12" i="49"/>
  <c r="C12" i="49"/>
  <c r="D11" i="49"/>
  <c r="C11" i="49"/>
  <c r="E11" i="49" s="1"/>
  <c r="D10" i="49"/>
  <c r="C10" i="49"/>
  <c r="E10" i="49" s="1"/>
  <c r="D9" i="49"/>
  <c r="C9" i="49"/>
  <c r="E9" i="49" s="1"/>
  <c r="E8" i="49"/>
  <c r="D8" i="49"/>
  <c r="C8" i="49"/>
  <c r="C21" i="49" s="1"/>
  <c r="E21" i="49" s="1"/>
  <c r="E7" i="49"/>
  <c r="D7" i="49"/>
  <c r="D21" i="49" s="1"/>
  <c r="C7" i="49"/>
  <c r="B46" i="48"/>
  <c r="B48" i="48" s="1"/>
  <c r="B49" i="48" s="1"/>
  <c r="B45" i="48"/>
  <c r="B50" i="48" s="1"/>
  <c r="B44" i="48"/>
  <c r="B37" i="48"/>
  <c r="B38" i="48" s="1"/>
  <c r="B36" i="48"/>
  <c r="B39" i="48" s="1"/>
  <c r="B35" i="48"/>
  <c r="D30" i="48"/>
  <c r="C30" i="48"/>
  <c r="D29" i="48"/>
  <c r="B19" i="48"/>
  <c r="E18" i="48"/>
  <c r="D18" i="48"/>
  <c r="E17" i="48"/>
  <c r="E16" i="48"/>
  <c r="E15" i="48"/>
  <c r="D14" i="48"/>
  <c r="E14" i="48" s="1"/>
  <c r="E13" i="48"/>
  <c r="E12" i="48"/>
  <c r="E11" i="48"/>
  <c r="D10" i="48"/>
  <c r="C10" i="48"/>
  <c r="E10" i="48" s="1"/>
  <c r="D9" i="48"/>
  <c r="D19" i="48" s="1"/>
  <c r="C9" i="48"/>
  <c r="C19" i="48" s="1"/>
  <c r="C21" i="48" s="1"/>
  <c r="E8" i="48"/>
  <c r="D8" i="48"/>
  <c r="D7" i="48"/>
  <c r="C7" i="48"/>
  <c r="E7" i="48" s="1"/>
  <c r="C82" i="47"/>
  <c r="D82" i="47" s="1"/>
  <c r="E78" i="47"/>
  <c r="C86" i="47" s="1"/>
  <c r="D78" i="47"/>
  <c r="B86" i="47" s="1"/>
  <c r="B90" i="47" s="1"/>
  <c r="F74" i="47"/>
  <c r="F69" i="47"/>
  <c r="F66" i="47"/>
  <c r="F63" i="47"/>
  <c r="F61" i="47"/>
  <c r="F59" i="47"/>
  <c r="F57" i="47"/>
  <c r="F53" i="47"/>
  <c r="F51" i="47"/>
  <c r="F49" i="47"/>
  <c r="F45" i="47"/>
  <c r="F42" i="47"/>
  <c r="F39" i="47"/>
  <c r="F36" i="47"/>
  <c r="F34" i="47"/>
  <c r="F30" i="47"/>
  <c r="F26" i="47"/>
  <c r="F23" i="47"/>
  <c r="F19" i="47"/>
  <c r="F15" i="47"/>
  <c r="F11" i="47"/>
  <c r="F7" i="47"/>
  <c r="B7" i="46"/>
  <c r="B208" i="46" s="1"/>
  <c r="B244" i="46" s="1"/>
  <c r="B16" i="46"/>
  <c r="B23" i="46"/>
  <c r="B30" i="46"/>
  <c r="B38" i="46"/>
  <c r="B55" i="46"/>
  <c r="B60" i="46"/>
  <c r="B83" i="46"/>
  <c r="B91" i="46"/>
  <c r="D93" i="46"/>
  <c r="B97" i="46"/>
  <c r="B115" i="46"/>
  <c r="B136" i="46"/>
  <c r="D137" i="46"/>
  <c r="D141" i="46"/>
  <c r="B144" i="46"/>
  <c r="D149" i="46"/>
  <c r="B153" i="46"/>
  <c r="D154" i="46"/>
  <c r="D162" i="46"/>
  <c r="D208" i="46" s="1"/>
  <c r="D163" i="46"/>
  <c r="D166" i="46"/>
  <c r="D169" i="46"/>
  <c r="D176" i="46"/>
  <c r="D191" i="46"/>
  <c r="B194" i="46"/>
  <c r="B201" i="46"/>
  <c r="D203" i="46"/>
  <c r="C208" i="46"/>
  <c r="B211" i="46"/>
  <c r="C214" i="46"/>
  <c r="D214" i="46"/>
  <c r="C217" i="46"/>
  <c r="C211" i="46" s="1"/>
  <c r="C244" i="46" s="1"/>
  <c r="D217" i="46"/>
  <c r="D211" i="46" s="1"/>
  <c r="E211" i="46" s="1"/>
  <c r="D222" i="46"/>
  <c r="C223" i="46"/>
  <c r="D223" i="46"/>
  <c r="D228" i="46"/>
  <c r="D231" i="46"/>
  <c r="E44" i="44"/>
  <c r="E43" i="44"/>
  <c r="E42" i="44"/>
  <c r="E41" i="44"/>
  <c r="E40" i="44"/>
  <c r="E39" i="44"/>
  <c r="E38" i="44"/>
  <c r="E37" i="44"/>
  <c r="E36" i="44"/>
  <c r="D35" i="44"/>
  <c r="E35" i="44" s="1"/>
  <c r="D34" i="44"/>
  <c r="E34" i="44" s="1"/>
  <c r="E33" i="44"/>
  <c r="E28" i="44"/>
  <c r="E27" i="44"/>
  <c r="E26" i="44"/>
  <c r="E25" i="44"/>
  <c r="D24" i="44"/>
  <c r="E24" i="44" s="1"/>
  <c r="E23" i="44"/>
  <c r="E22" i="44"/>
  <c r="E21" i="44"/>
  <c r="E20" i="44"/>
  <c r="E19" i="44"/>
  <c r="C18" i="44"/>
  <c r="E18" i="44" s="1"/>
  <c r="C17" i="44"/>
  <c r="E17" i="44" s="1"/>
  <c r="C16" i="44"/>
  <c r="E16" i="44" s="1"/>
  <c r="C15" i="44"/>
  <c r="E15" i="44" s="1"/>
  <c r="E14" i="44"/>
  <c r="C13" i="44"/>
  <c r="E13" i="44" s="1"/>
  <c r="E12" i="44"/>
  <c r="C12" i="44"/>
  <c r="E11" i="44"/>
  <c r="E10" i="44"/>
  <c r="E9" i="44"/>
  <c r="C8" i="44"/>
  <c r="E8" i="44" s="1"/>
  <c r="E7" i="44"/>
  <c r="E6" i="44"/>
  <c r="C6" i="44"/>
  <c r="C5" i="44"/>
  <c r="E5" i="44" s="1"/>
  <c r="C4" i="44"/>
  <c r="E4" i="44" s="1"/>
  <c r="E3" i="44"/>
  <c r="G30" i="53" l="1"/>
  <c r="E37" i="53"/>
  <c r="D39" i="53"/>
  <c r="G28" i="53"/>
  <c r="C39" i="53"/>
  <c r="N33" i="51"/>
  <c r="C34" i="51"/>
  <c r="I34" i="51"/>
  <c r="B14" i="51"/>
  <c r="B19" i="51" s="1"/>
  <c r="B34" i="51" s="1"/>
  <c r="N34" i="51" s="1"/>
  <c r="N22" i="51"/>
  <c r="N28" i="51" s="1"/>
  <c r="D21" i="48"/>
  <c r="E19" i="48"/>
  <c r="E9" i="48"/>
  <c r="D86" i="47"/>
  <c r="C90" i="47"/>
  <c r="D90" i="47" s="1"/>
  <c r="F78" i="47"/>
  <c r="E208" i="46"/>
  <c r="E244" i="46" s="1"/>
  <c r="D244" i="46"/>
  <c r="E39" i="53" l="1"/>
  <c r="F37" i="53"/>
  <c r="F39" i="53" l="1"/>
  <c r="G39" i="53" s="1"/>
  <c r="G37" i="53"/>
  <c r="F25" i="27" l="1"/>
  <c r="F15" i="40"/>
</calcChain>
</file>

<file path=xl/comments1.xml><?xml version="1.0" encoding="utf-8"?>
<comments xmlns="http://schemas.openxmlformats.org/spreadsheetml/2006/main">
  <authors>
    <author>Nomsa Makhubela</author>
  </authors>
  <commentList>
    <comment ref="F15" authorId="0">
      <text>
        <r>
          <rPr>
            <b/>
            <sz val="9"/>
            <color indexed="81"/>
            <rFont val="Tahoma"/>
            <family val="2"/>
          </rPr>
          <t>Nomsa Makhubela:</t>
        </r>
        <r>
          <rPr>
            <sz val="9"/>
            <color indexed="81"/>
            <rFont val="Tahoma"/>
            <family val="2"/>
          </rPr>
          <t xml:space="preserve">
</t>
        </r>
      </text>
    </comment>
    <comment ref="E16" authorId="0">
      <text>
        <r>
          <rPr>
            <b/>
            <sz val="9"/>
            <color indexed="81"/>
            <rFont val="Tahoma"/>
            <family val="2"/>
          </rPr>
          <t>Nomsa Makhubela:</t>
        </r>
        <r>
          <rPr>
            <sz val="9"/>
            <color indexed="81"/>
            <rFont val="Tahoma"/>
            <family val="2"/>
          </rPr>
          <t xml:space="preserve">
individuals
</t>
        </r>
      </text>
    </comment>
  </commentList>
</comments>
</file>

<file path=xl/sharedStrings.xml><?xml version="1.0" encoding="utf-8"?>
<sst xmlns="http://schemas.openxmlformats.org/spreadsheetml/2006/main" count="3427" uniqueCount="1413">
  <si>
    <t>Strategic Objective</t>
  </si>
  <si>
    <t>n/a</t>
  </si>
  <si>
    <t>Vote Nr</t>
  </si>
  <si>
    <t>Project / Initiative</t>
  </si>
  <si>
    <t>Start Date</t>
  </si>
  <si>
    <t>Completion Date</t>
  </si>
  <si>
    <t>MM</t>
  </si>
  <si>
    <t>TOTAL</t>
  </si>
  <si>
    <t>Measurable Objectives</t>
  </si>
  <si>
    <t>Baseline / Status</t>
  </si>
  <si>
    <t>Responsible Person</t>
  </si>
  <si>
    <t xml:space="preserve">Operational </t>
  </si>
  <si>
    <t> n/a</t>
  </si>
  <si>
    <t>Operational</t>
  </si>
  <si>
    <t>INDEP</t>
  </si>
  <si>
    <t>%  capital budget spent as approved by Council</t>
  </si>
  <si>
    <t>% MSIG expenditure</t>
  </si>
  <si>
    <t>CORPS</t>
  </si>
  <si>
    <t>Improved Human Resource</t>
  </si>
  <si>
    <t>% employees trained as per the WSP</t>
  </si>
  <si>
    <t>To ensure a health and safe working environment</t>
  </si>
  <si>
    <t>Performance measures</t>
  </si>
  <si>
    <t>KEY PERFORMANCE INDICATORS</t>
  </si>
  <si>
    <t>Integrated Sustainable Development</t>
  </si>
  <si>
    <t>Integrated and Sustainable Human Settlement</t>
  </si>
  <si>
    <t>Improved  Governance and Organisational Excellence</t>
  </si>
  <si>
    <t>Access to Sustainable Basic Services</t>
  </si>
  <si>
    <t>COMM</t>
  </si>
  <si>
    <t>Improved Local Economy</t>
  </si>
  <si>
    <t>Sustainable Financial Institution</t>
  </si>
  <si>
    <t>Updating of Indigent Register</t>
  </si>
  <si>
    <t>Data cleansing</t>
  </si>
  <si>
    <t>MM/CORPS</t>
  </si>
  <si>
    <t xml:space="preserve">OUTPUT 1: IMPLEMENT A DIFFERENTIATED APPROACH TO  MUNICIPAL FINANCING, PLANNING AND SUPPORT, OUTPUT 4: ACTIONS SUPPORTIVE OF THE HUMAN SETTLEMENT OUTCOMES </t>
  </si>
  <si>
    <t xml:space="preserve">OUTCOME NINE (OUTPUT 1: IMPLEMENT A DIFFERENTIATED APPROACH TO  MUNICIPAL FINANCING, PLANNING AND SUPPORT, OUTPUT 4: ACTIONS SUPPORTIVE OF THE HUMAN SETTLEMENT OUTCOMES) </t>
  </si>
  <si>
    <t>Project Owner</t>
  </si>
  <si>
    <t>INDEP/CFO/MM</t>
  </si>
  <si>
    <t>Measurable Objective</t>
  </si>
  <si>
    <t>Asset Management</t>
  </si>
  <si>
    <t>Revenue Management</t>
  </si>
  <si>
    <t>Indigent Management</t>
  </si>
  <si>
    <t>Budget and Reporting</t>
  </si>
  <si>
    <t>Expenditure Management</t>
  </si>
  <si>
    <t>IDP</t>
  </si>
  <si>
    <t>SDBIP</t>
  </si>
  <si>
    <t>OPMS</t>
  </si>
  <si>
    <t>EPMS</t>
  </si>
  <si>
    <t>Local Economic Development</t>
  </si>
  <si>
    <t xml:space="preserve">Programme </t>
  </si>
  <si>
    <t>Human Resources</t>
  </si>
  <si>
    <t>Property Services</t>
  </si>
  <si>
    <t>KPA 1 MUNICIPAL TRANSFORMATION AND ORGANISATIONAL DEVELOPMENT</t>
  </si>
  <si>
    <t>KPA 1 MUNICIPAL TRANSFORMATION AND ORGANISATIONAL DEVELOPMENT
PROJECTS</t>
  </si>
  <si>
    <t>KPA 2 BASIC SERVICE DELIVERY AND INFRASTRUCTURE
KEY PERFORMANCE INDICATORSPROJECTS
OUTCOME NINE (OUTPUT 2: IMPROVING ACCESS TO BASIC SERVICES, OUTPUT 3: IMPLEMENTATION OF THE COMMUNITY WORK PROGRAMME)</t>
  </si>
  <si>
    <t xml:space="preserve">KPA 3 LOCAL ECONOMIC DEVELOPMENT 
PROJECTS
OUTPUT 3: IMPLEMENTATION OF THE COMMUNITY WORK PROGRAMME </t>
  </si>
  <si>
    <t xml:space="preserve">KPA 4 MUNICIPAL FINANCIAL VIABILITY
KEY PERFORMANCE INDICATORS
OUTPUT 6: ADMINISTRATIVE AND FINANCIAL CAPABILITY </t>
  </si>
  <si>
    <t>KPA 4 MUNICIPAL FINANCIAL VIABILITY
PROJECTS
OUTCOME NINE (OUTPUT 6: ADMINISTRATIVE AND FINANCIAL CAPABILITY)</t>
  </si>
  <si>
    <t>KPA 5 GOOD GOVERNANCE AND PUBLIC PARTICIPATION 
KEY PERFORMANCE INDICATORS
OUTCOME 9 (OUTPUT 5: DEEPEN DEMOCRACY THROUGH A REFINED WARD  COMMITTEE MODEL, OUTPUT 6: ADMINISTRATIVE AND FINANCIAL CAPABILITY)</t>
  </si>
  <si>
    <t>KPA 5 GOOD GOVERNANCE AND PUBLIC PARTICIPATION 
PROJECTS
OUTPUT 5: DEEPEN DEMOCRACY THROUGH A REFINED WARD  COMMITTEE MODEL, OUTPUT 6: ADMINISTRATIVE AND FINANCIAL CAPABILITY)</t>
  </si>
  <si>
    <t>CFO</t>
  </si>
  <si>
    <t>INDEP/MM</t>
  </si>
  <si>
    <t>Community Facilities</t>
  </si>
  <si>
    <t>Sports and Recreation</t>
  </si>
  <si>
    <t>Electricity Distribution</t>
  </si>
  <si>
    <t>Spatial Planning</t>
  </si>
  <si>
    <t>Annual Report</t>
  </si>
  <si>
    <t>% appointed service providers with Service Level Agreement (# of service providers appointed/# of service providers with service level agreement)</t>
  </si>
  <si>
    <t>CORPS/MM</t>
  </si>
  <si>
    <t>Progranmes</t>
  </si>
  <si>
    <t>Programmes</t>
  </si>
  <si>
    <t>Traditional Leaders</t>
  </si>
  <si>
    <t xml:space="preserve">Local Imbizos </t>
  </si>
  <si>
    <t>Ward Committee</t>
  </si>
  <si>
    <t>Communication</t>
  </si>
  <si>
    <t>Bursary Scheme</t>
  </si>
  <si>
    <t>Risk Management</t>
  </si>
  <si>
    <t>OHS</t>
  </si>
  <si>
    <t>Planning and Development</t>
  </si>
  <si>
    <t>Group stages competition</t>
  </si>
  <si>
    <t>Collection of information on indigent households and update the register</t>
  </si>
  <si>
    <t>Tourism Indaba</t>
  </si>
  <si>
    <t>Skills Development</t>
  </si>
  <si>
    <t>Street Lighting</t>
  </si>
  <si>
    <t>Revenue Enhancement Strategy</t>
  </si>
  <si>
    <t>Supply Chain Management</t>
  </si>
  <si>
    <t>Valuation Roll</t>
  </si>
  <si>
    <t>% FMG expenditure</t>
  </si>
  <si>
    <t>Internal Audit</t>
  </si>
  <si>
    <t>Vehicle Licencing and Test</t>
  </si>
  <si>
    <t>Furniture &amp; Equipment</t>
  </si>
  <si>
    <t>Appoint service providers and construction progress at 25%</t>
  </si>
  <si>
    <t>Appointment of service provider and procurement of goods</t>
  </si>
  <si>
    <t>Advertise for appointment of professional service provider</t>
  </si>
  <si>
    <t>Implementation of resolutions of the Tourism Indaba report</t>
  </si>
  <si>
    <t>Coordinate and conduct enviromental related events and campaigns (1 per quarter)</t>
  </si>
  <si>
    <t>Participate in the celebratory activities</t>
  </si>
  <si>
    <t>Event held for various cultural activities</t>
  </si>
  <si>
    <t>Unbundling of Infrastructure Assets to update the asset register</t>
  </si>
  <si>
    <t>Conduct assessment of supplementary valuation roll.</t>
  </si>
  <si>
    <t>MM/ All Directors</t>
  </si>
  <si>
    <t>MM / All Directors</t>
  </si>
  <si>
    <t>PMS/MM</t>
  </si>
  <si>
    <t xml:space="preserve"> Internal Audit /MM</t>
  </si>
  <si>
    <t>Risk/MM</t>
  </si>
  <si>
    <t xml:space="preserve"> CFO</t>
  </si>
  <si>
    <t>CFO/INDEP/MM</t>
  </si>
  <si>
    <t>To register qualifying  indigents 30 June 2014</t>
  </si>
  <si>
    <t>Approval by Council</t>
  </si>
  <si>
    <t>Ass-Director (Mayor's office)/MM</t>
  </si>
  <si>
    <t>Legal</t>
  </si>
  <si>
    <t>Risk</t>
  </si>
  <si>
    <t>Operation clean audit</t>
  </si>
  <si>
    <t>Risk management</t>
  </si>
  <si>
    <t>All Directors/MM</t>
  </si>
  <si>
    <t>% achievement of  milestones on IDP/Budget/PMS process plan.</t>
  </si>
  <si>
    <t>To ensure annual implementation of the performance management system in the organisation</t>
  </si>
  <si>
    <t>Improved Quality of Life</t>
  </si>
  <si>
    <t>Budget 2014/2015</t>
  </si>
  <si>
    <t>Draft IDP, budget and PMS adopted by 31 March 2015</t>
  </si>
  <si>
    <t>Adopted by 31 May 2015</t>
  </si>
  <si>
    <t>To review, drive and monitor implementation of the IDP by 31 May 2015</t>
  </si>
  <si>
    <t>To compile the Final Annual Report and submit to council by 31 January 2015</t>
  </si>
  <si>
    <t>Final Annual Report approved by council on 31 January 2015</t>
  </si>
  <si>
    <t>Information was submitted by 10 June 2015</t>
  </si>
  <si>
    <t>Risk assessment: OHS</t>
  </si>
  <si>
    <t>Health and safety awareness event</t>
  </si>
  <si>
    <t>OHS signs and posters</t>
  </si>
  <si>
    <t>Employee wellness programme</t>
  </si>
  <si>
    <t>Skills development levy</t>
  </si>
  <si>
    <t>Long service award</t>
  </si>
  <si>
    <t>Networking of the sub-offices</t>
  </si>
  <si>
    <t>Quick cut machine</t>
  </si>
  <si>
    <t>Mamphakati Taxi Rank</t>
  </si>
  <si>
    <t>Sekgosese Market stalls</t>
  </si>
  <si>
    <t>Madumeleng Market stalls</t>
  </si>
  <si>
    <t xml:space="preserve">Municipal Mayor’s excellent award </t>
  </si>
  <si>
    <t xml:space="preserve">Conference and congresses </t>
  </si>
  <si>
    <t xml:space="preserve">Capacity building: councillors </t>
  </si>
  <si>
    <t>Batho Pele strategies</t>
  </si>
  <si>
    <t>Bursary scheme council</t>
  </si>
  <si>
    <t>R2 000 000</t>
  </si>
  <si>
    <t>Humanitarian Aid</t>
  </si>
  <si>
    <t xml:space="preserve">News letter </t>
  </si>
  <si>
    <t>Calendar and diaries</t>
  </si>
  <si>
    <t>Gender desk activities</t>
  </si>
  <si>
    <t>Disability desk activities</t>
  </si>
  <si>
    <t>Youth empowerment projects</t>
  </si>
  <si>
    <t>Youth desk activities</t>
  </si>
  <si>
    <t>Rotterdam Library</t>
  </si>
  <si>
    <t>30/06/2015</t>
  </si>
  <si>
    <t>01/07/2014</t>
  </si>
  <si>
    <t>01/01/2015</t>
  </si>
  <si>
    <t>01/10/2014</t>
  </si>
  <si>
    <t>Skills Development/Training</t>
  </si>
  <si>
    <t>Batho Pele</t>
  </si>
  <si>
    <t>Humanitarian</t>
  </si>
  <si>
    <t>IT</t>
  </si>
  <si>
    <t>Advertisement of tender and appointment of service provider</t>
  </si>
  <si>
    <t>31/03/2015</t>
  </si>
  <si>
    <t>Adopted by 31 March 2015</t>
  </si>
  <si>
    <t xml:space="preserve"> % of internal audit issues resolved (# of  Internal Audit issues resolved / # of issues raised)</t>
  </si>
  <si>
    <t>% of AG issues resolved (#  of  Auditor General issues resolved / # of issues raised)</t>
  </si>
  <si>
    <t xml:space="preserve"> % of Risk issues resolved (#  Risk issues implemented / resolved / # of risks identified)</t>
  </si>
  <si>
    <t>CORPS &amp; CFO</t>
  </si>
  <si>
    <t>Employee wellness day</t>
  </si>
  <si>
    <t>To organise 4  Health and Safety awareness events 30 June 2015</t>
  </si>
  <si>
    <t>To organise 4  OHS risk assessment workshop by 30 June 2015</t>
  </si>
  <si>
    <t>To network all GLM sub offices by 31 March 2015</t>
  </si>
  <si>
    <t>To award long service award to eligible employees timeously according to policy</t>
  </si>
  <si>
    <t>100% of the qualifying employees</t>
  </si>
  <si>
    <t>Conduct need analysis and submit specification to SCM</t>
  </si>
  <si>
    <t>To issue 4 newsletters by 30/06/2015</t>
  </si>
  <si>
    <t>To purchase calenders and diaries by 30/09/2014</t>
  </si>
  <si>
    <t>30/09/2014</t>
  </si>
  <si>
    <t>Budget and Treasury</t>
  </si>
  <si>
    <t>GPS system and training</t>
  </si>
  <si>
    <t xml:space="preserve">Security glass at Senwamokgope sub office </t>
  </si>
  <si>
    <t>New tanks, pumps and shades</t>
  </si>
  <si>
    <t>Enhancement &amp; Beautification of Town Entrances</t>
  </si>
  <si>
    <t>Traffic Sedan</t>
  </si>
  <si>
    <t>Concrete Mixer</t>
  </si>
  <si>
    <t>INDEP / B &amp; T</t>
  </si>
  <si>
    <t>Refurbishment of Municipal Workshop and stores</t>
  </si>
  <si>
    <t>Project management and construction monitoring to achieve progress of 100%</t>
  </si>
  <si>
    <t>Rehabilitation of Rotaba Cottages</t>
  </si>
  <si>
    <t>Parking at Municipal Offices</t>
  </si>
  <si>
    <t>Design and construction of fence and admin block at the new show ground by 30 June 2015</t>
  </si>
  <si>
    <t>GLM Show Ground</t>
  </si>
  <si>
    <t xml:space="preserve">Appoint Architectures for professional services.  </t>
  </si>
  <si>
    <t>Libraries and Archives</t>
  </si>
  <si>
    <t>Shotong Library</t>
  </si>
  <si>
    <t>Community Halls &amp; Facalities</t>
  </si>
  <si>
    <t>Construction of paving and fence at Senwamokgope community hall by  31 March 2015</t>
  </si>
  <si>
    <t>Senwamokgope Comm Hall Paving and Fencing</t>
  </si>
  <si>
    <t>Planning and designing of community hall for Ward 2 by 31 March 2015</t>
  </si>
  <si>
    <t>Ward 2 Community Hall</t>
  </si>
  <si>
    <t>Planning and designing of community hall for Ward 5 by 31 March 2015</t>
  </si>
  <si>
    <t>Ward 5 Community Hall</t>
  </si>
  <si>
    <t>Matshwi Community Hall</t>
  </si>
  <si>
    <t>Planning and designing of community hall for Mohlele village by 31 March 2015</t>
  </si>
  <si>
    <t>Mohlele Community Hall</t>
  </si>
  <si>
    <t>Planning and designing of community hall for Mamaila (Kolobetona) village by 31 March 2015</t>
  </si>
  <si>
    <t>Mamaila - Kolobetona Community Hall</t>
  </si>
  <si>
    <t>Planning and designing of community hall for Shamfana village by 31 March 2015</t>
  </si>
  <si>
    <t>Shamfana Community Hall</t>
  </si>
  <si>
    <t>Mokwakwaila to Kgapane Bus shelter</t>
  </si>
  <si>
    <t>Rapitsi to Malematsa Bus Shelter</t>
  </si>
  <si>
    <t>Lemondokop to Mamaila via Phooko Bus Shelter</t>
  </si>
  <si>
    <t>Modjadji Headkraal Bus Shelter</t>
  </si>
  <si>
    <t>Design and construction of market stalls at Sekgopo by 30 June 2015</t>
  </si>
  <si>
    <t>Sekgopo Market stalls</t>
  </si>
  <si>
    <t xml:space="preserve">Appoint consultants for professional services.  </t>
  </si>
  <si>
    <t>Design and construction of market stalls at Sekgosese by 30 June 2015</t>
  </si>
  <si>
    <t>Design and construction of market stalls at Ga-Kgapane by 30 June 2015</t>
  </si>
  <si>
    <t>Kgapane Market stalls</t>
  </si>
  <si>
    <t>Design and construction of market stalls at Mamaila (Phaphadi) by 30 June 2015</t>
  </si>
  <si>
    <t>Mamaila-Phaphadi Market stalls</t>
  </si>
  <si>
    <t>Design and construction of market stalls at Madumeleng by 30 June 2015</t>
  </si>
  <si>
    <t>Design and construction of market stalls at Khosuthopa by 30 June 2015</t>
  </si>
  <si>
    <t>Khosuthopa Market stalls</t>
  </si>
  <si>
    <t>Sports &amp; Recreation</t>
  </si>
  <si>
    <t>Mamanyoha Sports Complex</t>
  </si>
  <si>
    <t>Rotterdam Sports Complex</t>
  </si>
  <si>
    <t>Sekgopo Youth Centre</t>
  </si>
  <si>
    <t>Kgapane Youth Centre</t>
  </si>
  <si>
    <t>Roerfontein Youth Centre</t>
  </si>
  <si>
    <t>Mokwakwaila Youth Centre</t>
  </si>
  <si>
    <t>Madumeleng Old Age Facility</t>
  </si>
  <si>
    <t>Kgapane Old Age Facility</t>
  </si>
  <si>
    <t>Roerfontein Old Age Facility</t>
  </si>
  <si>
    <t>Design and construction of sports ground at Ga-Kgapane by 30 June 2015</t>
  </si>
  <si>
    <t>Kgapane Sports ground</t>
  </si>
  <si>
    <t>Waste Management / Refuse removal</t>
  </si>
  <si>
    <t>Landfill Site</t>
  </si>
  <si>
    <t>Stormwater</t>
  </si>
  <si>
    <t>Construction of pedestrian bridge at Ga-Kgapane (William Kgatla) by 31 March 2015</t>
  </si>
  <si>
    <t>Pedestrian William Kgatle Bridge</t>
  </si>
  <si>
    <t>Appoint contractors. Project management and construction monitoring to achieve 25% progress</t>
  </si>
  <si>
    <t>Low Level Bridges</t>
  </si>
  <si>
    <t xml:space="preserve">Modjadjiskloof- Channels </t>
  </si>
  <si>
    <t>Roads</t>
  </si>
  <si>
    <t>2 Tonner Truck with Quarter Canopy</t>
  </si>
  <si>
    <t>Plate compactor</t>
  </si>
  <si>
    <t>Mothobeki Paving</t>
  </si>
  <si>
    <t>Appoint contractors and resume with construction up to 25%</t>
  </si>
  <si>
    <t>Mamaila Phaphadi Paving</t>
  </si>
  <si>
    <t>Upgrading of gravel to concrete paving blocks for 1.8 km at Phooko village by 31 March 2015</t>
  </si>
  <si>
    <t>Phooko Head Kraal Paving</t>
  </si>
  <si>
    <t>Raphahlelo Head Kraal Paving</t>
  </si>
  <si>
    <t>Tipper truck</t>
  </si>
  <si>
    <t>Rehabilitation of 3 km of streets in Modjadjiskloof by 31 March 2015</t>
  </si>
  <si>
    <t xml:space="preserve">Rehabilitation of Modjadjiskloof Streets </t>
  </si>
  <si>
    <t>Rehabilitation of 3 km of streets in Ga-Kgapane by 31 March 2015</t>
  </si>
  <si>
    <t>Rehabilitation of Ga-Kgapane Streets</t>
  </si>
  <si>
    <t>Modjadjiskloof Sidewalks</t>
  </si>
  <si>
    <t xml:space="preserve">Construction of access road to Mokwakwaila Taxi Rank for 600m by 31 March 2015 </t>
  </si>
  <si>
    <t xml:space="preserve">Access Road to Mokwakwaila Taxi Rank- Roll over </t>
  </si>
  <si>
    <t>Appoint contractors and resume with construction up to 10%</t>
  </si>
  <si>
    <t>Itieleng- Sekgosese Street Paving</t>
  </si>
  <si>
    <t>Refilwe Street Paving</t>
  </si>
  <si>
    <t>Mmamakata Raselaka Street Paving</t>
  </si>
  <si>
    <t>Upgrade of Electricity to NER Standards</t>
  </si>
  <si>
    <t>Tools and equipment</t>
  </si>
  <si>
    <t>Contribution from MIG</t>
  </si>
  <si>
    <t>Upgrading of gravel to concrete paving blocks for 3 km at Ga-Kgapane by 31 March 2015</t>
  </si>
  <si>
    <t>Ga-Kgapane Street Upgrading</t>
  </si>
  <si>
    <t>Upgrading of gravel to concrete paving blocks for  1.8 km at Senwamokgope by 31 March 2015</t>
  </si>
  <si>
    <t xml:space="preserve">Senwamokgope Street Upgrading </t>
  </si>
  <si>
    <t>Upgrading of gravel to concrete paving blocks for 1.2 km at Kuranta by 31 March 2015</t>
  </si>
  <si>
    <t>Upgrading of streets -Kuranta</t>
  </si>
  <si>
    <t>Upgrading of gravel to concrete paving blocks for 2 km at Mokgoba by 31 March 2015</t>
  </si>
  <si>
    <t>Upgrading of streets -Mokgoba</t>
  </si>
  <si>
    <t>Upgrading of gravel to concrete paving blocks for 2 km at Modjadji Valley by 31 March 2015</t>
  </si>
  <si>
    <t>Upgrading of streets -Modjadji Valley</t>
  </si>
  <si>
    <t>Upgrading of gravel to concrete paving blocks for 1.8 km at Ratjeke by 31 March 2015</t>
  </si>
  <si>
    <t>Ratjeke Street Paving</t>
  </si>
  <si>
    <t>Construction of library at Senwamokgope township by 31 March 2015</t>
  </si>
  <si>
    <t>Senwamokgope library</t>
  </si>
  <si>
    <t>Construction of library at Sekgopo by 31 March 2015</t>
  </si>
  <si>
    <t>Sekgopo library</t>
  </si>
  <si>
    <t>Mokwakwaila library</t>
  </si>
  <si>
    <t xml:space="preserve">Kgapane stadium </t>
  </si>
  <si>
    <t>Seatlaleng Street Paving</t>
  </si>
  <si>
    <t>Mohlakong Street paving</t>
  </si>
  <si>
    <t>Sephukhubje Street Paving</t>
  </si>
  <si>
    <t>Matshelapata Street Paving</t>
  </si>
  <si>
    <t>Shawela Street Paving</t>
  </si>
  <si>
    <t>Sekgopo Maboying Street Paving</t>
  </si>
  <si>
    <t>Tlhotlhokwe Street Paving</t>
  </si>
  <si>
    <t>Shamfana Street Paving</t>
  </si>
  <si>
    <t>Kherobeng Street Paving</t>
  </si>
  <si>
    <t>Environmental Programmes</t>
  </si>
  <si>
    <t>Rain making ceremony</t>
  </si>
  <si>
    <t>Wolkberg Sports day</t>
  </si>
  <si>
    <t>To organise and host various sport codes by 30 June 2015</t>
  </si>
  <si>
    <t>Sports Activities</t>
  </si>
  <si>
    <t>Sporting activities held</t>
  </si>
  <si>
    <t>Cultural Activities</t>
  </si>
  <si>
    <t>To do cemetry layout and fencing at Ga-Kgapane cemetry by 30 June 2015</t>
  </si>
  <si>
    <t>Dermacation of sites (Nooitedaght Farm)</t>
  </si>
  <si>
    <t>Identify and implement SMME support initiatives by 30 June 2015</t>
  </si>
  <si>
    <t>Support of SMMEs'</t>
  </si>
  <si>
    <t>Approval of support initiatives and implementation thereof</t>
  </si>
  <si>
    <t>Participate in the annual Tourism Indaba by 30 June 2015</t>
  </si>
  <si>
    <t>Promote tourism activities within GLM by 30 June 2015</t>
  </si>
  <si>
    <t>Tourism Development</t>
  </si>
  <si>
    <t>Approval of tourism development initiatives and implementation thereof</t>
  </si>
  <si>
    <t>Planning &amp; Development</t>
  </si>
  <si>
    <t xml:space="preserve">Implement Land-use Management Scheme by 30 June 2015 </t>
  </si>
  <si>
    <t>Land-use Management</t>
  </si>
  <si>
    <t>Planning for renewal of Modjadjiskloof CBD by 30 June 2015</t>
  </si>
  <si>
    <t>Modjadjiskloof Urban Renewal Plan</t>
  </si>
  <si>
    <t>Scan building plans for uploading in the GIS by 31 March 2015</t>
  </si>
  <si>
    <t>Scanning of building plans into GIS</t>
  </si>
  <si>
    <t>Implement agricultural development initiatives by 30 June 2015</t>
  </si>
  <si>
    <t>Agricultural development</t>
  </si>
  <si>
    <t>Identify business support initiatives by 30 June 2015</t>
  </si>
  <si>
    <t>Business Support</t>
  </si>
  <si>
    <t>Approval of business support initiatives and implementation thereof</t>
  </si>
  <si>
    <t>Development of Manokwe cave</t>
  </si>
  <si>
    <t>GLM Piggery Project</t>
  </si>
  <si>
    <t>Approval and implementation of support initiatives</t>
  </si>
  <si>
    <t>Agricultural Awards</t>
  </si>
  <si>
    <t>Conduct award ceremony</t>
  </si>
  <si>
    <t>Feasibility Study for Picnic Sites</t>
  </si>
  <si>
    <t>Develop entrance and fencing for Manokwe cave by 30 June 2015</t>
  </si>
  <si>
    <t>Support emerging piggery farmers within GLM by 30 June 2015</t>
  </si>
  <si>
    <t>Compile feasibility study for picnic sites in GLM by 30 June 2015</t>
  </si>
  <si>
    <t>Good Governance</t>
  </si>
  <si>
    <t>Special Programmes</t>
  </si>
  <si>
    <t>HIV &amp; AIDS Council activities</t>
  </si>
  <si>
    <t>Implementation of the adopted Revenue Enhancement Strategy</t>
  </si>
  <si>
    <t>Review, adopt and implement Revenue Enhancement Strategy 30 June 2015</t>
  </si>
  <si>
    <t>To update household billing system information 30 Sept 2014 and implement</t>
  </si>
  <si>
    <t>Appointment of professional service provider for unbundling of municipal assets and updating of GRAP compialnt asset register.</t>
  </si>
  <si>
    <t>To monitor the process of unbundling and make progress report by 30 June 2015</t>
  </si>
  <si>
    <t>Updating of valuation roll by  30 June 2015</t>
  </si>
  <si>
    <t>Appointment of service provider to supply, instal and conduct training</t>
  </si>
  <si>
    <t>To conduct environmental impact assessment, purchase new tanks, pumps and shades by 31 March 2015</t>
  </si>
  <si>
    <t>Financial information supplied to relevant authorities by 30 June 2015</t>
  </si>
  <si>
    <t>Maphalle Market stalls</t>
  </si>
  <si>
    <t>Dermacation of sites (Goudplaas)</t>
  </si>
  <si>
    <t>Conveyance of Unregistered GLM properties</t>
  </si>
  <si>
    <t>Goudplaas Bus Shelter</t>
  </si>
  <si>
    <t>TLB (Backhoe Loader)</t>
  </si>
  <si>
    <t>Modjadji Ivory -route Street Paving</t>
  </si>
  <si>
    <t>Upgrading of streets - Thakgalane</t>
  </si>
  <si>
    <t>Gabions - Sekgopo</t>
  </si>
  <si>
    <t>Shaamiriri Sport Complex</t>
  </si>
  <si>
    <t>100% Complete</t>
  </si>
  <si>
    <t>Abel Outdoor gym</t>
  </si>
  <si>
    <t>Kuranta Outdoor gym</t>
  </si>
  <si>
    <t>Sekgopo Outdoor gym</t>
  </si>
  <si>
    <t xml:space="preserve">Four (4)signs and posters </t>
  </si>
  <si>
    <t xml:space="preserve">Attending of conference and congresses </t>
  </si>
  <si>
    <t>Communication and event management</t>
  </si>
  <si>
    <t>Adrehence to procedures and attend conference and congresses</t>
  </si>
  <si>
    <t>30/03/2015</t>
  </si>
  <si>
    <t>Scanner</t>
  </si>
  <si>
    <t>Cooler box</t>
  </si>
  <si>
    <t>5x Aqua coolers</t>
  </si>
  <si>
    <t xml:space="preserve">GLM Show Ground </t>
  </si>
  <si>
    <t>Modular issue Counters (2)</t>
  </si>
  <si>
    <t xml:space="preserve">Advertise and appoint service provider for installation </t>
  </si>
  <si>
    <t>Erection of highmast lights</t>
  </si>
  <si>
    <t>Highmast Lights in 10 villages</t>
  </si>
  <si>
    <t>Abel Highmast Lights</t>
  </si>
  <si>
    <t>Malematja Highmast Lights</t>
  </si>
  <si>
    <t>Mamokgadi Highmast Lights</t>
  </si>
  <si>
    <t>Shamfana Highmast Lights</t>
  </si>
  <si>
    <t>Mapaana Highmast Lights</t>
  </si>
  <si>
    <t>Upgrading of gravel to concrete paving blocks for 2 km at Mandela park by 30 September 2014</t>
  </si>
  <si>
    <t>Upgrading of gravel to concrete paving blocks for 2 km at Modjadji Head Kraal by 30 September 2014</t>
  </si>
  <si>
    <t>Mandela Park road</t>
  </si>
  <si>
    <t>Modjadji Head Kraal road</t>
  </si>
  <si>
    <t>Complete construction</t>
  </si>
  <si>
    <t>Council Vehicle for the speaker</t>
  </si>
  <si>
    <t>Purchasing of Council vehicle for the Speaker by 31 March 2015</t>
  </si>
  <si>
    <t>Shredding machine for registry</t>
  </si>
  <si>
    <t xml:space="preserve">Sourcing of quatations and appointment of service provider for supply  </t>
  </si>
  <si>
    <t>2 x Gazebos</t>
  </si>
  <si>
    <t>01/09/2014</t>
  </si>
  <si>
    <t>4 Printers: Senwamokgope, Mokwakwaila, Kgapane and main office</t>
  </si>
  <si>
    <t>6 x Steel Filling Cabinet: Finance</t>
  </si>
  <si>
    <t xml:space="preserve">CORPS </t>
  </si>
  <si>
    <t>Office furniture</t>
  </si>
  <si>
    <t>Servers</t>
  </si>
  <si>
    <t>Server room door</t>
  </si>
  <si>
    <t>10 Laptops</t>
  </si>
  <si>
    <t>Shelves for filling</t>
  </si>
  <si>
    <t>Disaster Recovery Plan  and UPS</t>
  </si>
  <si>
    <t>Rotterdam (new Community hall)</t>
  </si>
  <si>
    <t>Rental of the network printer</t>
  </si>
  <si>
    <t>Maintenance Plan for all IT Systems</t>
  </si>
  <si>
    <t>Khosutupa Taxi Rank</t>
  </si>
  <si>
    <t>Maphalle Outdoor gym</t>
  </si>
  <si>
    <t>Design and construction of market stalls at Maphalle by 30 June 2015</t>
  </si>
  <si>
    <t>First Aid content</t>
  </si>
  <si>
    <t>Kgapane Cemetry layout and fencing</t>
  </si>
  <si>
    <t>Traffic Blue lights (2)</t>
  </si>
  <si>
    <t>Testing room for learners Licence</t>
  </si>
  <si>
    <t>To develop and implement skills Developemnt programmes by 30 June 2015</t>
  </si>
  <si>
    <t>Erection of  two (2) highmast lights at Mapaana village by 30 September 2014</t>
  </si>
  <si>
    <t>Erection of  two (2) highmast lights at Shamfana village by 30 September 2014</t>
  </si>
  <si>
    <t>Erection of  two (2) highmast lights at Mamokgadi village by 30 September 2014</t>
  </si>
  <si>
    <t>Erection of  two (2) highmast lights at Malematja village by 30 September 2014</t>
  </si>
  <si>
    <t>Erection of  two (2) highmast lights at Mamphakathi village by 30 September 2014</t>
  </si>
  <si>
    <t>Erection of  two (2) highmast lights at Abel village by 30 September 2014</t>
  </si>
  <si>
    <t>Erection of  ten(10) highmast lights in various villages by 30 September 2014</t>
  </si>
  <si>
    <t>Procuring and installation of modular issue counters at Soetfontein library 31 March 2015</t>
  </si>
  <si>
    <t>Lemondokop Street Paving</t>
  </si>
  <si>
    <t>Wholesale Taxi Rank</t>
  </si>
  <si>
    <t>Manage events effectively by 30 June 2015</t>
  </si>
  <si>
    <t>To award academic excellent performers by 30 June 2015</t>
  </si>
  <si>
    <t>To improve capacity of councillors by 30 June 2015</t>
  </si>
  <si>
    <t xml:space="preserve">Advertise for applications and pay costs- Payment of costs </t>
  </si>
  <si>
    <t>To enhance humanitarian by 30 June 2014</t>
  </si>
  <si>
    <t>To facilitate  youth development activities by 30 June 2015</t>
  </si>
  <si>
    <t>To facilitate  HIV/AIDS Council  activities by 30 June 2018</t>
  </si>
  <si>
    <t>To facilitate  Disability desk activities by 30 June 2017</t>
  </si>
  <si>
    <t>To facilitate  gender desk activities by 30 June 2016</t>
  </si>
  <si>
    <t>Supporting initiatives for youth empowerment</t>
  </si>
  <si>
    <t>Roads &amp; Transport</t>
  </si>
  <si>
    <t>Moroatshehla  Highmast Lights</t>
  </si>
  <si>
    <t>Ga-Kgapane Parks</t>
  </si>
  <si>
    <t>Outdoor Gyms x3 (Kgapane, Senwamokgope &amp;Modjadjiskloof)</t>
  </si>
  <si>
    <t>Community &amp; Social</t>
  </si>
  <si>
    <t>To develop and implement disaster recovery plan by 31 March 2015</t>
  </si>
  <si>
    <t>Thakgalang Highmast Lights</t>
  </si>
  <si>
    <t>Erection of  two (2) highmast lights at Thakgalang village by 30 September 2014</t>
  </si>
  <si>
    <t>Mamphakati Highmast Lights</t>
  </si>
  <si>
    <t>Choral Music Competition</t>
  </si>
  <si>
    <t>Planning and designing of community hall for Matswi village by 31 March 2015</t>
  </si>
  <si>
    <t>Matswi Community Hall</t>
  </si>
  <si>
    <t>Manage events and 50% of the budget spent</t>
  </si>
  <si>
    <t>To implement Batho Pele principles by 31 March 2015</t>
  </si>
  <si>
    <t>To ensure that all indigent applicants are registered in the indigent register within 14 days of receipt.</t>
  </si>
  <si>
    <t>% of Indigent applications registered (# of applications received/# of   indigent applicantions processed)</t>
  </si>
  <si>
    <t xml:space="preserve">To ensure that  draft IDP, Budget and SDBIP are adopted by 31 March 2015. </t>
  </si>
  <si>
    <t>To ensure that land use applications are processed within 90 days of receipt.</t>
  </si>
  <si>
    <t>To ensure that SDBIP is finalised by 30 June 2015.</t>
  </si>
  <si>
    <t>SDBIP approved by Mayor 28 days after adoption of the final Budget and IDP.</t>
  </si>
  <si>
    <t>SDBIP approved by Mayor 28 days after adoption of Budget and IDP</t>
  </si>
  <si>
    <t>% of land use applications processed (# of applications received / # of land use applications processed) within 90 days of receipt</t>
  </si>
  <si>
    <t># of Quarterly performance reports submitted to Council.</t>
  </si>
  <si>
    <t>To ensure that S57 Managers sign the performance agreements within 30 days after adoption of the final SDBIP.</t>
  </si>
  <si>
    <t># of S57 Managers with signed performance agreements within 30 days after adoption of the final SDBIP</t>
  </si>
  <si>
    <t># of quarterly  performance assessments conducted within 30 days after the end of the quarter.</t>
  </si>
  <si>
    <t xml:space="preserve">To ensure quartely assessments for S57 Managers is conducted within 30 days after the end of the quarter. </t>
  </si>
  <si>
    <t xml:space="preserve">To ensure that annual assessments of S57 Managers is conducted within 30 days after the end of the fiancial year. </t>
  </si>
  <si>
    <t># of annual  performance assessments conducted within 30 days after the end of the fiancial year.</t>
  </si>
  <si>
    <t>To ensure functionality of Audit committee within the financial year.</t>
  </si>
  <si>
    <t># of meetings held per quarter.</t>
  </si>
  <si>
    <t>To ensure functionality of Exco committee within the financial year.</t>
  </si>
  <si>
    <t>To ensure functionality of Council committee within the financial year.</t>
  </si>
  <si>
    <t>To ensure functionality of Risk committee within the financial year.</t>
  </si>
  <si>
    <t># of performance audit reports issued per quarter.</t>
  </si>
  <si>
    <t>To conduct quarterly assessment on municipal performance information.</t>
  </si>
  <si>
    <t>To develop annual year internal audit plan and implement by 30 June 2015.</t>
  </si>
  <si>
    <t>Approved internal audit plan and % of the IA plan implementation.</t>
  </si>
  <si>
    <t>To attain Clean Audit by ensuring compliance to all governance; financial management and reporting requirements by 30 June 2015</t>
  </si>
  <si>
    <t>To ensure efffective implementation  of risk mitigations actions 30 June 2015.</t>
  </si>
  <si>
    <t>To ensure that quartely financial statements are prepared within 14 days after the end of each quarter.</t>
  </si>
  <si>
    <t># of quarterly financial statements and submitted to the relevant authorities</t>
  </si>
  <si>
    <t>To ensure that financial information is supplied to relevant authorities by 30 June 2015.</t>
  </si>
  <si>
    <t>To ensure payment of service providers within 30 days of the submission of invoices.</t>
  </si>
  <si>
    <t>% of payments of service providers made within 30 days (# of invoices received / # of invoices paid.</t>
  </si>
  <si>
    <t>To effectively manage the financial affairs of the municipality within the financial year</t>
  </si>
  <si>
    <t xml:space="preserve">% MIG expenditure </t>
  </si>
  <si>
    <t>To ensure full participation of ward committees in annual ward programmes within the financial year.</t>
  </si>
  <si>
    <t># of ward committee programmes evaluated per month.</t>
  </si>
  <si>
    <t>To ensure that community complaints are resolved within time frames.</t>
  </si>
  <si>
    <t>% of complaints attended per month (# of community complaints received/ # of complaints atteneded to).</t>
  </si>
  <si>
    <t>To implement Mayoral outreach programme by 30 June 2015</t>
  </si>
  <si>
    <t># of local imbizos held by the Mayor by 30 June 2015.</t>
  </si>
  <si>
    <t>To ensure community participation in the affairs of the municipality within the financial year.</t>
  </si>
  <si>
    <t># of people who attend events</t>
  </si>
  <si>
    <t>To establish a good relationship with traditional leaders within the financial year.</t>
  </si>
  <si>
    <t># traditional leaders invited to take part in council meetings and activities.</t>
  </si>
  <si>
    <t># of official documents published.</t>
  </si>
  <si>
    <t>To publicise official documents in the website within legislated time frames (Budget, IDP, SDBIP)</t>
  </si>
  <si>
    <t>To promote effective and efficient communication within the financial year.</t>
  </si>
  <si>
    <t># of articles issued to the media quartely.</t>
  </si>
  <si>
    <t># of newslatters issued quarterly.</t>
  </si>
  <si>
    <t>To ensure proper contract management within the financial year.</t>
  </si>
  <si>
    <t>To ensure  effective implementation of the WSP within the financial year.</t>
  </si>
  <si>
    <t># of wellness and OHS campaigns conducted per quarter</t>
  </si>
  <si>
    <t>To fund good performing student from the needy families</t>
  </si>
  <si>
    <t>To develop and implement IDP process plan by 30 June 2015.</t>
  </si>
  <si>
    <t>IDP process plan adopted and implemented by 30 June 2015.</t>
  </si>
  <si>
    <t xml:space="preserve">Develop specification, submit to SCM, purchase and paste OHS sign posters  </t>
  </si>
  <si>
    <t>To purchase OHS signs and posters by 30 September 2014</t>
  </si>
  <si>
    <t>Develop specification, submit to SCM, purchase office signs and posters</t>
  </si>
  <si>
    <t>To purchase office signs and posters by 30 September 2014</t>
  </si>
  <si>
    <t>Develop specification, submit to SCM, purchase first aid kit</t>
  </si>
  <si>
    <t>01/07/2015</t>
  </si>
  <si>
    <t>30/09/2015</t>
  </si>
  <si>
    <t>To purchase First aid kit by 30 September 2014</t>
  </si>
  <si>
    <t>Develop specification, submit to SCM, purchase scanner</t>
  </si>
  <si>
    <t>Purchasing of a scanner by 30 September 2014</t>
  </si>
  <si>
    <t>Appointment of service provider and implement 50% of the project.</t>
  </si>
  <si>
    <t>To purchase  4 Printers: Senwamokgope, Mokwakwaila, Kgapane and main office by 30 September 2014</t>
  </si>
  <si>
    <t>Develop specification, submit to SCM and purchase printers</t>
  </si>
  <si>
    <t>Develop specification, submit to SCM and purchase steel filling cabinets</t>
  </si>
  <si>
    <t>Procument of 6 steel cabinets: Finance by 30 September 2014</t>
  </si>
  <si>
    <t>To purchase 10 laptops by 30 September 2014</t>
  </si>
  <si>
    <t>To purchase shelves for filling by 30 September 2014</t>
  </si>
  <si>
    <t xml:space="preserve">Construction of parking area for 36 vehicles at main office by 31 March  2015 </t>
  </si>
  <si>
    <t>Develop specification, submit  to SCM and purchase</t>
  </si>
  <si>
    <t>To organise EWP day by 12 December 2014</t>
  </si>
  <si>
    <t>To rent network printer by 12 December 2014</t>
  </si>
  <si>
    <t>To purchase Office furniture by 12 December 2014</t>
  </si>
  <si>
    <t>To purchase Servers by 12 December 2014</t>
  </si>
  <si>
    <t>To purchase Server room door by 12 December 2014</t>
  </si>
  <si>
    <t>To submit housing demand database to COGHSTA by the 12 December 2014</t>
  </si>
  <si>
    <t>House demand database submitted by 12 December 2014</t>
  </si>
  <si>
    <t>Database submitted to COGHSTA by the 12 December 2014</t>
  </si>
  <si>
    <t>To compile the Draft Annual Report and submit to council by 12 December 2014</t>
  </si>
  <si>
    <t>Draft Annual Report adopted by Council  on 12 December 2014</t>
  </si>
  <si>
    <t>Draft Annual Report adopted by Council on 12 December 2014</t>
  </si>
  <si>
    <t>To attain Clean Audit by ensuring compliance to all governance; financial management and reporting requirements by 12 December 2014</t>
  </si>
  <si>
    <t>Construction of Sport complex at Shaamiriri Village by 12 December 2014.</t>
  </si>
  <si>
    <t xml:space="preserve">Refurbish municipal workshop and stores by 12 December 2014 </t>
  </si>
  <si>
    <t>To organise the rainmaking ceremony by 12 December 2014</t>
  </si>
  <si>
    <t>Appoint consultants for professional services and resume with construction to 15%</t>
  </si>
  <si>
    <t>Design and construction of stormwater management channels in Modjadjiskloof by 31 March 2015</t>
  </si>
  <si>
    <t>Develop, submit specifications to SCM and purchase</t>
  </si>
  <si>
    <t>Purchasing of a plate compactor by 30 September 2014</t>
  </si>
  <si>
    <t xml:space="preserve">Upgrading of gravel to concrete paving blocks for 1.8 km at Mothobeki village by 31 March 2015 </t>
  </si>
  <si>
    <t>Upgrading of gravel to concrete paving blocks for 1.8 km at Mamaila Phaphadi village by 31 March 2015</t>
  </si>
  <si>
    <t>Upgrading of gravel to concrete paving blocks for 1.8 km at Raphahlelo village by 31 March 2015</t>
  </si>
  <si>
    <t>Purchasing of quick cut machine by 30 September 2014</t>
  </si>
  <si>
    <t>Construction of 3.5 km of sidewalks in Modjadjiskloof by 31 March 2015</t>
  </si>
  <si>
    <t>Construction up to 50%</t>
  </si>
  <si>
    <t>Purchasing and delivery</t>
  </si>
  <si>
    <t>12/12/2014</t>
  </si>
  <si>
    <t>Purchasing of two TLB (Backhoe Loader) by 12 December 2014</t>
  </si>
  <si>
    <t>Purchasing of a 2 tonner truck with quarter canopy for roads maintenance team by 12 December 2014</t>
  </si>
  <si>
    <t>Appoint service provider for installation of gabions, progress at 50%</t>
  </si>
  <si>
    <t>Supply and installation of gabions for Sekgopo by 31 March 2015</t>
  </si>
  <si>
    <t>Purchasing of 2 tipper trucks by 12 December 2014</t>
  </si>
  <si>
    <t>Appoint contractors and construction progress a 10%</t>
  </si>
  <si>
    <t>Appoint contractors and Construction progress a 50%</t>
  </si>
  <si>
    <t>Appoint service provider and designs progress at 30%</t>
  </si>
  <si>
    <t xml:space="preserve">Appoint service provider and resume and complete designs </t>
  </si>
  <si>
    <t>Construction of Ga-Kgapane Parks (Below Civic Centre and Mesopotamia) by 31 March 2015</t>
  </si>
  <si>
    <t>Construction of outdoor gym at Maphalle by 31 March 2015</t>
  </si>
  <si>
    <t>Construction of outdoor gym at Sekgopo village by 31 March 2015</t>
  </si>
  <si>
    <t>Construction of outdoor gym at Abel village by 31 March 2015</t>
  </si>
  <si>
    <t xml:space="preserve">Renovate 6 Rottaba Cottages in Modjadjiskloof by 31 March 2015 </t>
  </si>
  <si>
    <t>Upgrading of electricity infrastructure at Modjadjiskloof for compliance with NER by 31 March 2015</t>
  </si>
  <si>
    <t>Appoint contractors for construction and progress at 20%</t>
  </si>
  <si>
    <t>Construction of landfill site at Maphalle village by 31 March 2015</t>
  </si>
  <si>
    <t>Appoint service provider and construction at  25% progress</t>
  </si>
  <si>
    <t>Planning and designing of new community hall for Rotterdam by 31 March 2015</t>
  </si>
  <si>
    <t>Award performance in agricultural sector by 12 December 2014</t>
  </si>
  <si>
    <t>To organise the Wolkberg sports day by 31 March 2015</t>
  </si>
  <si>
    <t>Games held for various sporting codes</t>
  </si>
  <si>
    <t>To organise event for cultural activities by 31 March 2015</t>
  </si>
  <si>
    <t>To organise Choral Music Competition by 31 March 2015</t>
  </si>
  <si>
    <t>Appointment of professional service provider and progress of dermacation at 20%</t>
  </si>
  <si>
    <t>To demarcate and peg sites at Goudplaas by 31 March 2015</t>
  </si>
  <si>
    <t>To demarcate and peg sites at Nooitedaght by 31 March 2015</t>
  </si>
  <si>
    <t>Appoint service provider for conveyancing and progress at 20%</t>
  </si>
  <si>
    <t>Conveyance of unregistered municipal properties by 31 March 2015</t>
  </si>
  <si>
    <t>100% (# of complaints received / # of complaints resolved)</t>
  </si>
  <si>
    <t>Appointment of professional service provider</t>
  </si>
  <si>
    <t>Scanning of building plans, uploading in the GIS and progress at 50%</t>
  </si>
  <si>
    <t>12/12/2015</t>
  </si>
  <si>
    <t>Conduct environmental impact assessment</t>
  </si>
  <si>
    <t>To purchase 1 concrete mixer by 30 September 2014</t>
  </si>
  <si>
    <t>Purchasing of electrical tools and equipment by 30 September 2014</t>
  </si>
  <si>
    <t>31/09/2014</t>
  </si>
  <si>
    <t>Purchasing of shredding machine for registry by 30 September 2014</t>
  </si>
  <si>
    <t>Purchasing of 5 Aqua Coolers by 30 September 2014</t>
  </si>
  <si>
    <t>Purchasing of a Cooler box by 30 September 2014</t>
  </si>
  <si>
    <t xml:space="preserve">Appoint service provider and progress 20% </t>
  </si>
  <si>
    <t>Appoint service provider and erection of bus shelter at 50% progress.</t>
  </si>
  <si>
    <t>Supply and erection of bus shelter at Mokwakwaila - Ga-Kgapane road by 31 March 2015</t>
  </si>
  <si>
    <t>1/07/2014</t>
  </si>
  <si>
    <t>Purchasing of twotraffic Blue lights by 30 September 2014</t>
  </si>
  <si>
    <t>Supply and erection of bus shelter at Goudplaats village by 31 March 2015</t>
  </si>
  <si>
    <t>Supply and erection of bus shelter at Modjadji Head Kraal by 31 March 2015</t>
  </si>
  <si>
    <t>Appoint service providers and construction at 50%</t>
  </si>
  <si>
    <t>Construction Of  Testing room for learners Licences by 31 March 2015</t>
  </si>
  <si>
    <t>Supply and erection of bus shelter at Lemondokop - Mamaila road by 31 March 2015</t>
  </si>
  <si>
    <t>Supply and erection of bus shelter at Malematsa - Rapitsi road by 31 March 2015</t>
  </si>
  <si>
    <t>Design and construction of low level bridges by 31 March 2015</t>
  </si>
  <si>
    <t>Appointment of service provider and 100% plan completed.</t>
  </si>
  <si>
    <t>Develop maintenance Plan for all IT Systems by 30 September 2014</t>
  </si>
  <si>
    <t>Develop specifications,submit to SCM and purchase laptops.</t>
  </si>
  <si>
    <t>Planning and designing of street paving at Itieleng (Sekgosese) by 30 June 2015</t>
  </si>
  <si>
    <t>Planning and designing of street paving at Lemondokop by 30 June 2015</t>
  </si>
  <si>
    <t>Planning and designing of street paving at Refilwe village by 30 June 2015</t>
  </si>
  <si>
    <t>Planning and designing of street paving at Mamakata-Raselaka by 30 June 2015</t>
  </si>
  <si>
    <t>Planning and designing of Ivory-route street paving at Modjadji by 30 June 2015</t>
  </si>
  <si>
    <t>Planning and designing of taxi rank at Khosotupa by 30 June 2015</t>
  </si>
  <si>
    <t>Planning and designing of taxi rank at Wholesale by 30 June 2015</t>
  </si>
  <si>
    <t>Planning and designing of taxi rank at Mamphakati by 30 June  2015</t>
  </si>
  <si>
    <t xml:space="preserve">Upgrading of gravel to concrete paving blocks at Thakgalane by 30 September 2014 </t>
  </si>
  <si>
    <t>Planning and designing of street paving at Seatlaleng village by 30 June 2015</t>
  </si>
  <si>
    <t>Planning and designing of street paving at Mohlakong village by 30 June 2015</t>
  </si>
  <si>
    <t>Planning and designing of street paving at Sephukubje village by 30 June 2015</t>
  </si>
  <si>
    <t>Planning and designing of street paving at Matshelapata village by 30 June 2015</t>
  </si>
  <si>
    <t>Planning and designing of street paving at Shawela village by 30 June 2015</t>
  </si>
  <si>
    <t>Planning and designing of street paving at Sekgop (Maboying) village by 30 June 2015</t>
  </si>
  <si>
    <t>Planning and designing of street paving at Tlhotlhokwe village by 30 June 2015</t>
  </si>
  <si>
    <t>Planning and designing of street paving at Kherobene village by 30 June 2015</t>
  </si>
  <si>
    <t>Planning and designing of street paving at Shamfana village by 30 June 2015</t>
  </si>
  <si>
    <t>Appoint service provider and resume with designs at 30% progress</t>
  </si>
  <si>
    <t>Planning and designing of library at Mokwakwaila by 30 June 2015</t>
  </si>
  <si>
    <t>Upgrading of Ga-Kgapane stadium by 31 March 2015</t>
  </si>
  <si>
    <t>Appointment of service provider. Project management and construction monitoring to achieve progress of 10%</t>
  </si>
  <si>
    <t>Erection of  two (2) highmast lights at Moroatshehla  village by 30 September 2014.</t>
  </si>
  <si>
    <t>To organize and conduct environmental programme within the municipality quarterly</t>
  </si>
  <si>
    <t>Planning and designing of sport complex for Mamanyoha village by 30 June 2015</t>
  </si>
  <si>
    <t>Planning and designing of sport complex for Rotterdam  village by 30 June 2015</t>
  </si>
  <si>
    <t>Planning and designing of youth centre for Sekgopo  village by 30 June 2015</t>
  </si>
  <si>
    <t>Planning and designing of youth centre for Ga-Kgapane township by 30 June 2015</t>
  </si>
  <si>
    <t>Planning and designing of youth centre for Mokwakwaila  village by 30 June 2015</t>
  </si>
  <si>
    <t>Planning and designing of youth centre for Roerfontein  village by 30 June 2015</t>
  </si>
  <si>
    <t>Construction of outdoor gym at Ga-Kuranta village by 31 March 2015</t>
  </si>
  <si>
    <t>Installation of GPS system and training of end users by 31 March 2015</t>
  </si>
  <si>
    <t>Installation of security glass at Senwamokgope sub-office by 30 September 2014</t>
  </si>
  <si>
    <t>Purchasing of two (2) gazebos by 30 September 2014</t>
  </si>
  <si>
    <t>Planning and designing of library for Rotterdam village by 30 June 2015</t>
  </si>
  <si>
    <t>Planning and designing of library for Shotong village by 30 June 2015</t>
  </si>
  <si>
    <t>Planning and designing of old age facility for Madumeleng village by 30 June 2015</t>
  </si>
  <si>
    <t>Planning and designing of old age facility for Ga-Kgapane township by 30 June 2015</t>
  </si>
  <si>
    <t>Planning and designing of old age facility for Roerfontein village by 30 June 2015</t>
  </si>
  <si>
    <t>Purchasing of  Traffic  Sedan by 12 December 2014</t>
  </si>
  <si>
    <t>Appoint service provider and construction progress at 30%</t>
  </si>
  <si>
    <t>Appoint service provider and installation progress at 30%</t>
  </si>
  <si>
    <t>Enhancement &amp; Beautification of Modjadjiskloof Town Entrances by 30 June 2015</t>
  </si>
  <si>
    <t>Installation of 3 outdoor gyms at GaKgapane, Modjadjiskloof and Senwamokgope by 31 March 2015</t>
  </si>
  <si>
    <t>Challenges</t>
  </si>
  <si>
    <t>Interventions</t>
  </si>
  <si>
    <t>Expenditure</t>
  </si>
  <si>
    <t>Intervention</t>
  </si>
  <si>
    <t>Challeges</t>
  </si>
  <si>
    <t>None</t>
  </si>
  <si>
    <t>Tender to be awarded in the 3rd quarter</t>
  </si>
  <si>
    <t>Design to be finalised in the 3rd quarter</t>
  </si>
  <si>
    <t>Machine to be procured in the 3rd quarter</t>
  </si>
  <si>
    <t>Truck to be procured in the 3rd quarter</t>
  </si>
  <si>
    <t>Tender to be awarded and design be finalised in the 3rd quarter</t>
  </si>
  <si>
    <t xml:space="preserve">Apply penalties </t>
  </si>
  <si>
    <t>Tender was re-advertised for compliance with SCM regulations</t>
  </si>
  <si>
    <t>Construct self-built electricity supply</t>
  </si>
  <si>
    <t>Backlog in delivery of lights cause by strike in the metal industry</t>
  </si>
  <si>
    <t>Tender was advertised for reviewing designs</t>
  </si>
  <si>
    <t>Non-acceptance of the contract in the previous FY</t>
  </si>
  <si>
    <t>Delays caused by land dispute</t>
  </si>
  <si>
    <t>NONE</t>
  </si>
  <si>
    <t>Speed up the process of appointment</t>
  </si>
  <si>
    <t>Awaiting appointment</t>
  </si>
  <si>
    <t>SCM provide Legal with documents for development of SLA</t>
  </si>
  <si>
    <t>Service provider for designs has not yet started due to SLA which is not yet signed</t>
  </si>
  <si>
    <t>Speed up the process of evaluation and adjudication</t>
  </si>
  <si>
    <t>Speed up the appointment process</t>
  </si>
  <si>
    <t>speed up regisrering</t>
  </si>
  <si>
    <t>R75 000.00</t>
  </si>
  <si>
    <t>R8 771.60</t>
  </si>
  <si>
    <t xml:space="preserve">Target not achieved. </t>
  </si>
  <si>
    <t>Qtr1 assessment not done.</t>
  </si>
  <si>
    <t>Target achieved. 100% of the qualifying employees awarded long service award.</t>
  </si>
  <si>
    <t xml:space="preserve">Target not achieved. Contractors not appointed and construction at 0% </t>
  </si>
  <si>
    <t>Target not achieved. Consultants not appointed. Construction at 0%</t>
  </si>
  <si>
    <t>Target not achieved. TLB (Backhoe loader) not purchased.</t>
  </si>
  <si>
    <t>Target not achieved. 2 tonner trucks with quarter canopy not purchased</t>
  </si>
  <si>
    <t>Target not achieved. Pllate compactor not purchased.</t>
  </si>
  <si>
    <t xml:space="preserve">Target not achieved. Service provider not appointed, installation of gabions at 0% </t>
  </si>
  <si>
    <t>Target not achieved. Tipper truch not purchased.</t>
  </si>
  <si>
    <t>Target not achieved. Service provider not appointed. Designs progress at 0%</t>
  </si>
  <si>
    <t>Target not achieved. Construction at 0%</t>
  </si>
  <si>
    <t>Target not achieved. Service provider not appointedand designs progress at 0%.</t>
  </si>
  <si>
    <t>Target not achieved. Construction stage: 95%</t>
  </si>
  <si>
    <t>Target not achieved. Contractors not appointedand. Construction at 0%.</t>
  </si>
  <si>
    <t>Taget not achieved. Service provider not appointed for installation.</t>
  </si>
  <si>
    <t>Target not achieved. Consultants not appointed for professional services</t>
  </si>
  <si>
    <t>Target not achieved. Service provider not appointed. Construction progress at 0%</t>
  </si>
  <si>
    <t>Target not achieved. Contractors not appointer. Construction at 0%</t>
  </si>
  <si>
    <t xml:space="preserve">Target not achieved. Service provider not appointed. Construction at 0%. </t>
  </si>
  <si>
    <t>Target not achieved. Service provider not appointed. Installation progress at 0%</t>
  </si>
  <si>
    <t>R48 056.89</t>
  </si>
  <si>
    <t>Target achieved. 1 x environmental campaign held.</t>
  </si>
  <si>
    <t>Target not achieved. Contractors not appointed. Construction at 0%</t>
  </si>
  <si>
    <t>Target not achieved. Architectures not appointed.</t>
  </si>
  <si>
    <t>Target not achieved. Consultants not appointed.</t>
  </si>
  <si>
    <t>Target achieved. Support initiatives have been identified</t>
  </si>
  <si>
    <t>Target achieved. Resolutions of the Tourism Indaba report implemented. The next indaba to be attended in May 2015</t>
  </si>
  <si>
    <t xml:space="preserve">Target achieved. Tender advertised </t>
  </si>
  <si>
    <t>Target achieved. Agriculture Awards ceremony was held</t>
  </si>
  <si>
    <t>Target not achieved. Did not participate in the ceremonies.</t>
  </si>
  <si>
    <t>Closed ceremonies were held and municipality was not engaged / invited</t>
  </si>
  <si>
    <t>Engage the ceremony organisers.</t>
  </si>
  <si>
    <t>Target achieved. Implementaion plan is in place and sporting codes are being held</t>
  </si>
  <si>
    <t>Target achieved. Plan in place and activities are being held</t>
  </si>
  <si>
    <t>Target not achieved. Plan is in place and group stages not yet started</t>
  </si>
  <si>
    <t>Target not achieved. Professional service provider not appointed. Demarcation Progress at 0%</t>
  </si>
  <si>
    <t xml:space="preserve">Target not achieved. Professional service provider not appointed. </t>
  </si>
  <si>
    <t>Target not achieved. Scanning of building plan, uploading of plans in GIS progress at 0%</t>
  </si>
  <si>
    <t>Target achieved. 29</t>
  </si>
  <si>
    <t>Target achieved. 100% complaints received and resolved.(7/7)</t>
  </si>
  <si>
    <t>Target achieved. 100%</t>
  </si>
  <si>
    <t>Target achieved. 10 x Traditional leaders participate in Council activities</t>
  </si>
  <si>
    <t>Target achieved. 1 x OHS campaign hels</t>
  </si>
  <si>
    <t>Target achieved. Employees who attend congresses and conferences adhere to procedures.</t>
  </si>
  <si>
    <t>Target achieved. Need analysis of Councillors conducted. Specifications submitted to SCM</t>
  </si>
  <si>
    <t>Target achieved. Bursary scheme was advertised. Payments are made for the existing bursary holders.</t>
  </si>
  <si>
    <t>Target not achieved. Council vehicle for the speaker not purchased.</t>
  </si>
  <si>
    <t>Delay in the process of obtaining concurrence form the MEC s office</t>
  </si>
  <si>
    <t>Procured</t>
  </si>
  <si>
    <t>R10 300.00</t>
  </si>
  <si>
    <t>The initial  service provider has just finished and specification could not be made</t>
  </si>
  <si>
    <t>Start with Specification</t>
  </si>
  <si>
    <t>Appoint Service provider in the 3rd Qtr</t>
  </si>
  <si>
    <t>Target not achieved. Service provider not appointed. Progress at 0%</t>
  </si>
  <si>
    <t>Target not achieved. Service provider not appointed and erection of bus shelter at 0%</t>
  </si>
  <si>
    <t>Midyear target end Dec 2014</t>
  </si>
  <si>
    <t>Conduct awareness campaigns in all wards</t>
  </si>
  <si>
    <t xml:space="preserve">Target achieved. Process plan at 50% </t>
  </si>
  <si>
    <t>Target achieved.  2 x Quarterly performance reports submitted to Council</t>
  </si>
  <si>
    <t>Target not achieved. 4 performance agreements signed within 30 days after adoption of the final SDBIP</t>
  </si>
  <si>
    <t>Post of Director: Corporate Services was not yet filled.</t>
  </si>
  <si>
    <t>The incumbent appointed will sign performance agreement within 30 days of appointment.</t>
  </si>
  <si>
    <t>Target achieved. Annual performance asessment conducted.</t>
  </si>
  <si>
    <t>Conduct only formal assessment : midyear and annual.</t>
  </si>
  <si>
    <t>Target achieved. 2 x ordinary meetings; 2 x special Audit Committee meeting held</t>
  </si>
  <si>
    <t>Target not achieved. 1x Risk Committee meeting held</t>
  </si>
  <si>
    <t>Meeting postponed due to other official commitments</t>
  </si>
  <si>
    <t>Adherence to Risk Committee meeting schedule</t>
  </si>
  <si>
    <t xml:space="preserve">Target achieved. 1 x ordinary       4 x meetings held. </t>
  </si>
  <si>
    <t>Target achieved. 2 x performance audit report issued.</t>
  </si>
  <si>
    <t>Tender advertised</t>
  </si>
  <si>
    <t>Target achieved. 2 x OHS Risk assessment workshops conducted.</t>
  </si>
  <si>
    <t>Target achieved. 2x Health and safety awareness events held</t>
  </si>
  <si>
    <t>Target not achieved. Specification submitted. OHS Posters not purchased</t>
  </si>
  <si>
    <t>Target not achieved. First aid kit not purchased.</t>
  </si>
  <si>
    <t>First aid kit no longer required.</t>
  </si>
  <si>
    <t>To be removed during budget adjustment</t>
  </si>
  <si>
    <t>Target achieved. EWP day held.</t>
  </si>
  <si>
    <t>Target not achieved. Specifications developed and submitted to SCM. Scanner not purchased</t>
  </si>
  <si>
    <t>Non adherence to procurement plan</t>
  </si>
  <si>
    <t>Target achieved. Network printer rented (existing project)</t>
  </si>
  <si>
    <t>Target not achieved. Service provider not appointed and implementation at 0%.</t>
  </si>
  <si>
    <t>Target not achieved. 4 x printers not procured.</t>
  </si>
  <si>
    <t>Target achieved. 6 x steel cabinets purchased.</t>
  </si>
  <si>
    <t>Target not achieved. Office furniture not purchased.</t>
  </si>
  <si>
    <t>Achievements / Progress 
Midyear Ending  Dec 2014</t>
  </si>
  <si>
    <t>Reprioritise and review procurement plan</t>
  </si>
  <si>
    <t>Target not achieved. Server procured. Installation at 0%</t>
  </si>
  <si>
    <t>To followup with the service provider for installation</t>
  </si>
  <si>
    <t>Target not achieved. Server room door not procured. Installation at 0%.</t>
  </si>
  <si>
    <t xml:space="preserve">Target not achieved. 10 laptops not purchased </t>
  </si>
  <si>
    <t>Delay in the identification of DRP/UPS location</t>
  </si>
  <si>
    <t>Target not achieved. Shelves not achieved.</t>
  </si>
  <si>
    <t>Delay in identification of location for the shelves.</t>
  </si>
  <si>
    <t>Identification of a new location</t>
  </si>
  <si>
    <t>Purchase shelves for filling</t>
  </si>
  <si>
    <t>Target  not achieved. Service provider not appointed. Construction of municipal parking offices at 0%.</t>
  </si>
  <si>
    <t>Target not achieved. Highmast lights not erected.</t>
  </si>
  <si>
    <t xml:space="preserve">Target not achieved. Service provider not appointed </t>
  </si>
  <si>
    <t>Identify beneficiaries for distribution of seedlings.</t>
  </si>
  <si>
    <t>Target not achieved. Businnes support initiatives not implemented.</t>
  </si>
  <si>
    <t>Target not achieved. Tourism development initiatives not yet implemented.</t>
  </si>
  <si>
    <t>Delay in identification of initiatives</t>
  </si>
  <si>
    <t>Identification of initiatives for implementation</t>
  </si>
  <si>
    <t>Target not achieved. Support initiatives have been identified but not yet implemented</t>
  </si>
  <si>
    <t>Implementation of the support initiatives</t>
  </si>
  <si>
    <t>Choirs still registering</t>
  </si>
  <si>
    <t>Opening balances can only be moved after audit</t>
  </si>
  <si>
    <t>Target not achieved. 1x financial statements prepared and submitted to relevant authorities  (50%)</t>
  </si>
  <si>
    <t>2nd financial statements to be prepared and submitted end January</t>
  </si>
  <si>
    <t>Target achieved. 100% payment within 30 days</t>
  </si>
  <si>
    <t>Target not achieved. Service provider not appointed. No installation. Training not conducted.</t>
  </si>
  <si>
    <t>Tender to be awarded in the 3rd Qtr</t>
  </si>
  <si>
    <t>Target not achieved. Quotations not requested. Service provider not appointed. Security glass not installed.</t>
  </si>
  <si>
    <t>Request quotations for procurement, appoint service provider, supply and installation of security glass</t>
  </si>
  <si>
    <t>Target not achieved. Environmental Impact Assessment not conducted</t>
  </si>
  <si>
    <t>Target not achieved. Concrete mixer not purchased.</t>
  </si>
  <si>
    <t>Target not achieved. Tools and equipments not purchased.</t>
  </si>
  <si>
    <t>Target achieved. Information collected and indigent register updated</t>
  </si>
  <si>
    <t>Target achieved. Revenue Enhancement Strategy implemented</t>
  </si>
  <si>
    <t>Target not achieved. Billing system not yet approved by Council</t>
  </si>
  <si>
    <t>Service provider charging high prices</t>
  </si>
  <si>
    <t>Price negotiation</t>
  </si>
  <si>
    <t>Target chieved.  Service provider appointed. Asset register updated</t>
  </si>
  <si>
    <t>Purchase during 4th Qtr.</t>
  </si>
  <si>
    <t>Target not achieved. 2 x Gazebos not purchased.</t>
  </si>
  <si>
    <t>Target not achieved. Scanner not purchased.</t>
  </si>
  <si>
    <t>Scanner no longer required.</t>
  </si>
  <si>
    <t>Target not achieved. Cooler box not purchased.</t>
  </si>
  <si>
    <t>To be purchased in the 3rd quarter</t>
  </si>
  <si>
    <t>5 x Aqua Coolers no longer required.</t>
  </si>
  <si>
    <t>Target not achieved. Shredding machne not purchased.</t>
  </si>
  <si>
    <t>Project on hold</t>
  </si>
  <si>
    <t>Resuscitation of the project</t>
  </si>
  <si>
    <t>2 financial statements (100%)</t>
  </si>
  <si>
    <t>2 Quarterly performance report submitted to Council</t>
  </si>
  <si>
    <t>5 x performance agreements signed within 30 days after adoption of the final SDBIP</t>
  </si>
  <si>
    <t xml:space="preserve">1 x performane assessment </t>
  </si>
  <si>
    <t>2 x Annual performance asessment</t>
  </si>
  <si>
    <t>2 x meetings</t>
  </si>
  <si>
    <t>2 x risk committee meetings</t>
  </si>
  <si>
    <t>2 x Council meetings</t>
  </si>
  <si>
    <t>2 x Exco meetings</t>
  </si>
  <si>
    <t>2 x performance audit reports</t>
  </si>
  <si>
    <t>2 Health and Safety awareness events</t>
  </si>
  <si>
    <t>Develop specification, submit to SCM, advertise and purchase office furniture</t>
  </si>
  <si>
    <t>Request quatations for procurement, appoint service provider, supply and installation of servers at 100%</t>
  </si>
  <si>
    <t>Request quatations for procurement, appoint service provider, supply and installation of server room door at 100%</t>
  </si>
  <si>
    <t>Develop specification, submit to SCM, advertise, appoint a service provider and 50% implementation</t>
  </si>
  <si>
    <t>Develop specification, submit to SCM, advertise, appoint a service provider and construction at 50% implementation</t>
  </si>
  <si>
    <t>Target achieved. 100% land use applications processed (21 land use applications received /21 land use applications processed)</t>
  </si>
  <si>
    <t>Target achieved. Games for various sporting codes  held.</t>
  </si>
  <si>
    <t>Target not achieved. 33% (9 received / 3 resolved)</t>
  </si>
  <si>
    <t>Boundary disputes</t>
  </si>
  <si>
    <t>Site pegging</t>
  </si>
  <si>
    <t>Target not achieved. 34% spent.</t>
  </si>
  <si>
    <t>Target not achieved. 10% spent.</t>
  </si>
  <si>
    <t>Target not achieved. 27% spent.</t>
  </si>
  <si>
    <t xml:space="preserve">Internship posts not filled. </t>
  </si>
  <si>
    <t>To fill the posts by 01 February 2015</t>
  </si>
  <si>
    <t>Target not achieved. 21.4% spent.</t>
  </si>
  <si>
    <t>Target achieved. Supplementary valuation roll conducted</t>
  </si>
  <si>
    <t>Target achieved. Annual performance report submitted to Council on 11 August 2014</t>
  </si>
  <si>
    <t>Target not achieved. 0% internal audit plan implemented</t>
  </si>
  <si>
    <t>Place implementation of IA findings on the Performance Agreement of Directors.</t>
  </si>
  <si>
    <t>Internal Audit Plan not approved</t>
  </si>
  <si>
    <t>Finalisation of Risk Register</t>
  </si>
  <si>
    <t>Non-implementation of IA queries</t>
  </si>
  <si>
    <t>Target not achieved. 7% (4 IA issues resolved / 30 issues reaised)</t>
  </si>
  <si>
    <t>Target not achieved. 0% (9 Risk issues raised/ 9 not resolved).  .</t>
  </si>
  <si>
    <t>Slow implementation of mitigation actions.</t>
  </si>
  <si>
    <t>Management have developed mitigation actions to address the risks identified</t>
  </si>
  <si>
    <t>To purchase in the 3rd Qtr</t>
  </si>
  <si>
    <t>Milestones       (Mid year)
Qtr Ending Dec 14</t>
  </si>
  <si>
    <t>Target achieved. Paymenst of skills development levy made</t>
  </si>
  <si>
    <t>.Appointment of service provider</t>
  </si>
  <si>
    <t>Target achieved. 2 x Imbizo held.</t>
  </si>
  <si>
    <t>Target achieved. 10 articles published</t>
  </si>
  <si>
    <t>Target not achieved. Newsletter not issued.</t>
  </si>
  <si>
    <t>Lack of capacity</t>
  </si>
  <si>
    <t>Appointment of Adim Officer: Communication &amp; events</t>
  </si>
  <si>
    <t>R790 075.00 (Professional fee)</t>
  </si>
  <si>
    <t>Target not achieved. Erection of highmast lights incomplete.</t>
  </si>
  <si>
    <t>Target not achieved. Construction incomplete</t>
  </si>
  <si>
    <t>To be completed in the 3rd Qtr</t>
  </si>
  <si>
    <t>R179 660.00 (Professional fees)</t>
  </si>
  <si>
    <t>R139 693.00 (Professional fees)</t>
  </si>
  <si>
    <t>R135 229.00 (Professional fees)</t>
  </si>
  <si>
    <t>R88 405.00 (Professional fees)</t>
  </si>
  <si>
    <t>R241 633.00 (Professional fees)</t>
  </si>
  <si>
    <t>R164 4213.00 (Professional fees)</t>
  </si>
  <si>
    <t>R132 600.00 (Professional fees)</t>
  </si>
  <si>
    <t>R142 363.00 (Professional fees)</t>
  </si>
  <si>
    <t>R1 726 644.00 (Professional fees)</t>
  </si>
  <si>
    <t>R960 000.00 (Professional fees)</t>
  </si>
  <si>
    <t>Number of applications made were less than the targeted number</t>
  </si>
  <si>
    <t>Award tenders in the 3rd quarter</t>
  </si>
  <si>
    <t>Appoint Admin Officer: Comm &amp; Events</t>
  </si>
  <si>
    <t>Target not achieved. No news letter was issued.</t>
  </si>
  <si>
    <t xml:space="preserve">Delay in compiling the newsletter </t>
  </si>
  <si>
    <t>To issue before the end March 2015</t>
  </si>
  <si>
    <t>Target not achieved. Calenders and diaries not purchased.</t>
  </si>
  <si>
    <t>To purchase by end March 2015</t>
  </si>
  <si>
    <t>To pruchase during the 3rd Qtr</t>
  </si>
  <si>
    <t>Target achieved. Memorandum submitted. Requisitions for tools and equipments have been made</t>
  </si>
  <si>
    <t>Target not achieved. Progress at 0%.</t>
  </si>
  <si>
    <t xml:space="preserve">Target not achived, Service provider not appointed. </t>
  </si>
  <si>
    <t>Target achieved. Employeed are trained as per WSP</t>
  </si>
  <si>
    <t>Target achieved. 6 documents are published on the website.</t>
  </si>
  <si>
    <t>Mid year target end Dec 2014</t>
  </si>
  <si>
    <t>Achievements / Progress mid year end Dec 2014</t>
  </si>
  <si>
    <t>Mid Year  target end Dec 2014</t>
  </si>
  <si>
    <t>Achievements/ Progress made end Dec 2014</t>
  </si>
  <si>
    <t>Achievements/Progress made end Dec 2014</t>
  </si>
  <si>
    <t>Midyear milestones 
Ending Dec 2014</t>
  </si>
  <si>
    <t>Purchase and delivery of Council Vehicle for the speaker</t>
  </si>
  <si>
    <t>Youth desk activities implementation</t>
  </si>
  <si>
    <t>Target achieved. Youth desk activity program developed and implemented</t>
  </si>
  <si>
    <t>Gender desk activities implementation</t>
  </si>
  <si>
    <t>Target achieved. Gender desk activity program developed and implemented.</t>
  </si>
  <si>
    <t>Target achieved. Disability desk activity program developed and implemented</t>
  </si>
  <si>
    <t>Disability desk activities implementation</t>
  </si>
  <si>
    <t>Target achieved. HIV/AIDS Council activity program developed and implemented.</t>
  </si>
  <si>
    <t>HIV/AIDS Council  activity program implementation</t>
  </si>
  <si>
    <t>Youth empowerment initiatives implementation</t>
  </si>
  <si>
    <t>Target achieved. Traffic blue lights procured</t>
  </si>
  <si>
    <t>Appoint service provider and purchase traffic sedan</t>
  </si>
  <si>
    <t>Midyear milestones 
Qtr Ending          Dec 2014</t>
  </si>
  <si>
    <t>COMMITTMENT REGISTER (OWN FUNDING)</t>
  </si>
  <si>
    <t>No</t>
  </si>
  <si>
    <t>Budget Adjustment / Contract Amount</t>
  </si>
  <si>
    <t>Balance Rollover / Commitment</t>
  </si>
  <si>
    <t>Progress</t>
  </si>
  <si>
    <t>Renovation of Municipal Workshop</t>
  </si>
  <si>
    <t>Highmast lights in villages</t>
  </si>
  <si>
    <t>Tender awarded</t>
  </si>
  <si>
    <t>Ga-Kgapane Stadium Bridge</t>
  </si>
  <si>
    <t>Construction is at 11%</t>
  </si>
  <si>
    <t>Shawela Bridge</t>
  </si>
  <si>
    <t>Construction is at 15%</t>
  </si>
  <si>
    <t>Graders</t>
  </si>
  <si>
    <t>Mothobeki Street Paving</t>
  </si>
  <si>
    <t>100% complete (planning)</t>
  </si>
  <si>
    <t>Mamaila Phaphadi Street Paving</t>
  </si>
  <si>
    <t xml:space="preserve">Tender awarded </t>
  </si>
  <si>
    <t>Phooko Headkraal Street Paving</t>
  </si>
  <si>
    <t>Raphahlelo Street Paving</t>
  </si>
  <si>
    <t>Jamela Street Paving</t>
  </si>
  <si>
    <t>Construction is at 81%</t>
  </si>
  <si>
    <t>Sedibeng Street Paving</t>
  </si>
  <si>
    <t>Construction is at 94%</t>
  </si>
  <si>
    <t>Sefofotse Street Paving</t>
  </si>
  <si>
    <t>Contract terminated. Tender to be advertised</t>
  </si>
  <si>
    <t>Rotterdam (Duvula) Street Paving</t>
  </si>
  <si>
    <t>100% complete</t>
  </si>
  <si>
    <t>Rotterdam (Mahunsi) Street Paving</t>
  </si>
  <si>
    <t>Construction is at 8%</t>
  </si>
  <si>
    <t>Medingen Street Paving</t>
  </si>
  <si>
    <t>Project at halt. Construction was at 25%</t>
  </si>
  <si>
    <t>Matswi Street Paving</t>
  </si>
  <si>
    <t>Construction at 75%</t>
  </si>
  <si>
    <t>Makaba Street Paving</t>
  </si>
  <si>
    <t>Construction at 95%</t>
  </si>
  <si>
    <t>Access road to Mokwakwaila Taxi Rank</t>
  </si>
  <si>
    <t>Modjadjiskloof Gabions</t>
  </si>
  <si>
    <t>Construction at 5%</t>
  </si>
  <si>
    <t>Upgrading of Hill and Kerk Streets</t>
  </si>
  <si>
    <t>The appointed service provider did not accept the contract</t>
  </si>
  <si>
    <t>Ga-Kgapane Sidewalks</t>
  </si>
  <si>
    <t>To be re-advertised</t>
  </si>
  <si>
    <t>Upgrading electricty network to NER standard</t>
  </si>
  <si>
    <t>Intergrated Roads &amp; Transport Plan</t>
  </si>
  <si>
    <t>Tender awarded and under implementation</t>
  </si>
  <si>
    <t>Supply of Water Cart</t>
  </si>
  <si>
    <t>Supply of Bulldozer</t>
  </si>
  <si>
    <t>Supply of Tipper Truck</t>
  </si>
  <si>
    <t>COMMITTMENT REGISTER (MIG FUNDING)</t>
  </si>
  <si>
    <t>Budget Adjustment 2013/2014</t>
  </si>
  <si>
    <t>Thakgalang Street Paving</t>
  </si>
  <si>
    <t>Project at halt. Construction was at 65%</t>
  </si>
  <si>
    <t>Rapitsi Street Paving</t>
  </si>
  <si>
    <t>Modjadji Headkraal Street Paving</t>
  </si>
  <si>
    <t>Construction at 88%</t>
  </si>
  <si>
    <t>Ga-Kgapane Streets Upgrading</t>
  </si>
  <si>
    <t>Senwamokgope Streets Upgrading</t>
  </si>
  <si>
    <t>Modjadji Valley Streets Upgrading</t>
  </si>
  <si>
    <t>Kuranta Street Paving</t>
  </si>
  <si>
    <t>Mokgoba Street Paving</t>
  </si>
  <si>
    <t>Senwamokgope Library</t>
  </si>
  <si>
    <t>Sekgopo Library</t>
  </si>
  <si>
    <t>Ga-Kgapane Stadium</t>
  </si>
  <si>
    <t>Target not achieved. 721 indigents applications received and processed.</t>
  </si>
  <si>
    <t>GREATER LETABA LOCAL MUNICIPALITY</t>
  </si>
  <si>
    <t>MIDTERM FINANCIAL PERFORMANCE REPORT ENDING 31 DECEMBER 2014</t>
  </si>
  <si>
    <t>Evaluation stage</t>
  </si>
  <si>
    <t>Tlotlokwe Street paving</t>
  </si>
  <si>
    <t>Sekgopo Street paving</t>
  </si>
  <si>
    <t>Shawela Street paving</t>
  </si>
  <si>
    <t>Matshelapata Street paving</t>
  </si>
  <si>
    <t>Sephukhubje Street paving</t>
  </si>
  <si>
    <t>Awaiting apointment</t>
  </si>
  <si>
    <t>Completed</t>
  </si>
  <si>
    <t>Senwamokgope Stadium - Roll Over</t>
  </si>
  <si>
    <t xml:space="preserve">Mokwakwaila stadium - Roll Over </t>
  </si>
  <si>
    <t>work in progress</t>
  </si>
  <si>
    <t>Shaamiriri Sports complex</t>
  </si>
  <si>
    <t xml:space="preserve">Sekgopo Sports complex </t>
  </si>
  <si>
    <t>Lebaka Sports complex</t>
  </si>
  <si>
    <t>On Advertsement</t>
  </si>
  <si>
    <t>Mokwakwaila Library</t>
  </si>
  <si>
    <t>awarded</t>
  </si>
  <si>
    <t>Ratjeke Street Paving - Consultant</t>
  </si>
  <si>
    <t>Modjadji Head Kraal Road</t>
  </si>
  <si>
    <t>Mandela Park Road</t>
  </si>
  <si>
    <t>Advertised</t>
  </si>
  <si>
    <t>Maphalle market stalls</t>
  </si>
  <si>
    <t>Shawela Graveyard Bridge</t>
  </si>
  <si>
    <t>Upgrading of streets -Sekgopo</t>
  </si>
  <si>
    <t xml:space="preserve">Upgrading of streets -Modjadji Valley </t>
  </si>
  <si>
    <t>Upgrading of streets -Rapitsi</t>
  </si>
  <si>
    <t xml:space="preserve">Upgrading of streets -Mokgoba </t>
  </si>
  <si>
    <t xml:space="preserve">Upgrading of streets -Kuranta </t>
  </si>
  <si>
    <t>Upgrading of Streets-Thakgalane</t>
  </si>
  <si>
    <t xml:space="preserve">Ga-Kgapane Street Upgrading </t>
  </si>
  <si>
    <t>CONTRIBUTION FROM MIG</t>
  </si>
  <si>
    <t>Awarded</t>
  </si>
  <si>
    <t>Maximum Demand Metering</t>
  </si>
  <si>
    <t xml:space="preserve">No specification submitted </t>
  </si>
  <si>
    <t>Tools and Equipment</t>
  </si>
  <si>
    <t>Work in progress</t>
  </si>
  <si>
    <t>Upgrade of Electricity to NER Standards-NER Compliance</t>
  </si>
  <si>
    <t>Electricity/Electricity Distribution</t>
  </si>
  <si>
    <t>Traffic sedan</t>
  </si>
  <si>
    <t>Testing Room for Leaner Licenses</t>
  </si>
  <si>
    <t>Traffic Blue Lights(2)</t>
  </si>
  <si>
    <t>Road Transport/Vehicle licensing &amp; Testing</t>
  </si>
  <si>
    <t>Makaba Street Paving - Roll Over</t>
  </si>
  <si>
    <t>Mandela Barlow-Thibeni Road -Roll Over</t>
  </si>
  <si>
    <t>Maapana Street Paving - Roll Over</t>
  </si>
  <si>
    <t>Modjadji Ivory Route</t>
  </si>
  <si>
    <t>Mmaphakhati Taxi Rank</t>
  </si>
  <si>
    <t>Wholesaler Taxi Rank</t>
  </si>
  <si>
    <t>Khosotupa Taxi Rank</t>
  </si>
  <si>
    <t>Refilwe Street paving</t>
  </si>
  <si>
    <t>Itieleng-Sekgosese Street Paving</t>
  </si>
  <si>
    <t>Sekgopo Gabions</t>
  </si>
  <si>
    <t>No appointment was made</t>
  </si>
  <si>
    <t>Access Road to Mokwakwaila Taxi Rank</t>
  </si>
  <si>
    <t xml:space="preserve"> procured</t>
  </si>
  <si>
    <t>Bulldozer</t>
  </si>
  <si>
    <t>Work in Progress</t>
  </si>
  <si>
    <t>Matshwi Street paving</t>
  </si>
  <si>
    <t>Medigen Street paving</t>
  </si>
  <si>
    <t>Contractor did not accept due to underpricing</t>
  </si>
  <si>
    <t xml:space="preserve">Hill &amp; Kerk Streets Upgrading </t>
  </si>
  <si>
    <t>Rotterdam (Mahonsi)</t>
  </si>
  <si>
    <t>Mamaila (Kolobetona)</t>
  </si>
  <si>
    <t>Rotterdam (Duvula)</t>
  </si>
  <si>
    <t>Quick Cut machine</t>
  </si>
  <si>
    <t xml:space="preserve">Rehabilitation of Ga-kgapane Streets </t>
  </si>
  <si>
    <t>Tipper Truck</t>
  </si>
  <si>
    <t>procured</t>
  </si>
  <si>
    <t>Water cart</t>
  </si>
  <si>
    <t>Sedibeng Street Upgrading</t>
  </si>
  <si>
    <t>Jamela Street Paving -Consultants and Contractor</t>
  </si>
  <si>
    <t>Raphahlelo Head Kraal paving</t>
  </si>
  <si>
    <t>Design stage</t>
  </si>
  <si>
    <t>Mothobekgi Paving</t>
  </si>
  <si>
    <t>Plate Compator</t>
  </si>
  <si>
    <t>2 Toner Truck with Quarter Conopy</t>
  </si>
  <si>
    <t>TLB(Backhoe Loader)</t>
  </si>
  <si>
    <t>Graders (2)</t>
  </si>
  <si>
    <t>Modjadjiskloof Channels</t>
  </si>
  <si>
    <t>Low level Bridges</t>
  </si>
  <si>
    <t>Storm Water</t>
  </si>
  <si>
    <t>Waste Bakkie</t>
  </si>
  <si>
    <t>Skip Truck</t>
  </si>
  <si>
    <t>Skip Bins (14)</t>
  </si>
  <si>
    <t>Transfer Stations</t>
  </si>
  <si>
    <t>WASTE WATER MANAGEMENT</t>
  </si>
  <si>
    <t>Kuranta Outdoor gymnasium</t>
  </si>
  <si>
    <t>Abel Outdoor gymnasium</t>
  </si>
  <si>
    <t>Sekgopo Outdoor gymnasium</t>
  </si>
  <si>
    <t>Maphalle Outdoor gymnasium</t>
  </si>
  <si>
    <t>Outdoor gyms x 3 (Ga-Kgapane,Modjadjiskloof and Senwamokgope)</t>
  </si>
  <si>
    <t>Sekgopo Sport Complex</t>
  </si>
  <si>
    <t>Enhancement &amp; Beautifications of Town entrance</t>
  </si>
  <si>
    <t xml:space="preserve">Ga- Kgapane Park </t>
  </si>
  <si>
    <t xml:space="preserve">Mokgoba Streetlights </t>
  </si>
  <si>
    <t>.</t>
  </si>
  <si>
    <t>Raphahlelo,Phooko,Lomondokop Highmast - Roll Over</t>
  </si>
  <si>
    <t>Madumeleng,Mokohokong,ramaroka,Setlaleng Highmast - Roll Over</t>
  </si>
  <si>
    <t>Bellevue &amp; Mpepule Highmast - Roll Over</t>
  </si>
  <si>
    <t>Las Vegas,Rapitsi &amp; Makaba Highmast - Roll Over</t>
  </si>
  <si>
    <t>Motlhele,Rajeke &amp; Mamanyoha Highmast - Roll Over</t>
  </si>
  <si>
    <t>Mamphakhathi Highmast</t>
  </si>
  <si>
    <t>Highmast in 10 Village</t>
  </si>
  <si>
    <t>Malematja Highmast</t>
  </si>
  <si>
    <t>Mmamokgadi Highmast</t>
  </si>
  <si>
    <t>Shamfana Highmast</t>
  </si>
  <si>
    <t>Maapana Highmast</t>
  </si>
  <si>
    <t xml:space="preserve">Thakgalane Highmast </t>
  </si>
  <si>
    <t>Moroatshehla Highmast</t>
  </si>
  <si>
    <t>Abel Highmast</t>
  </si>
  <si>
    <t>Ga-Kgapane new cemetry earthworks</t>
  </si>
  <si>
    <t>Layout and Fencing  of 3 cemetries in Kgapane</t>
  </si>
  <si>
    <t>Community &amp; Social Services/Cemeteries</t>
  </si>
  <si>
    <t>Delayed delivery</t>
  </si>
  <si>
    <t>Versa Trollies</t>
  </si>
  <si>
    <t>Modular Issue Counter</t>
  </si>
  <si>
    <t>Libraries &amp; Archives</t>
  </si>
  <si>
    <t>Goedplaas Bus Shelter</t>
  </si>
  <si>
    <t>Mamaila Kolobetona Community Hall</t>
  </si>
  <si>
    <t>Ward 5 Communnity Hall</t>
  </si>
  <si>
    <t>Ward 2 Communnity Hall</t>
  </si>
  <si>
    <t>New Community Hall - Rotterdam</t>
  </si>
  <si>
    <t>Community Halls &amp; Facilities</t>
  </si>
  <si>
    <t xml:space="preserve">Purchasing of land </t>
  </si>
  <si>
    <t>Economic Development/ Planning</t>
  </si>
  <si>
    <t>Finance &amp; Admin/Others</t>
  </si>
  <si>
    <t xml:space="preserve">Parking at Municipal office </t>
  </si>
  <si>
    <t>Specification not submitted</t>
  </si>
  <si>
    <t>Rehibilitation of rotaba Cottages</t>
  </si>
  <si>
    <t>scanner</t>
  </si>
  <si>
    <t>Shelves for falling</t>
  </si>
  <si>
    <t>Refurbishment of Municipal workshop and stores</t>
  </si>
  <si>
    <t>Quotation stage</t>
  </si>
  <si>
    <t>Shedding Machine Registry</t>
  </si>
  <si>
    <t>Aqua cooler(5)</t>
  </si>
  <si>
    <t>Fencing and Paving of Kgapane Old Sub-Office</t>
  </si>
  <si>
    <t>Decoration of Council Chamber (including foyer) (Budget adjustment)</t>
  </si>
  <si>
    <t>Disaster Recovery Plan &amp; Implementation</t>
  </si>
  <si>
    <t>Laptop and Computer</t>
  </si>
  <si>
    <t>Server Room Door</t>
  </si>
  <si>
    <t>Specification Stage</t>
  </si>
  <si>
    <t>Server</t>
  </si>
  <si>
    <t>Information Technology</t>
  </si>
  <si>
    <t>Printers(4)Senwamokgope,Mokwakwaila,Kgapane and Main office</t>
  </si>
  <si>
    <t>Office Furniture</t>
  </si>
  <si>
    <t>Steel Filling Cabinets (2)</t>
  </si>
  <si>
    <t>Human Resource</t>
  </si>
  <si>
    <t>Service provider did not accept</t>
  </si>
  <si>
    <t>Printers (2) Salaries &amp; Revenue Section</t>
  </si>
  <si>
    <t>Specification not Submitted</t>
  </si>
  <si>
    <t>New tanks,pumps and shades</t>
  </si>
  <si>
    <t>Awaiting submission of quotations</t>
  </si>
  <si>
    <t>Security glass-senwamokgope cash office</t>
  </si>
  <si>
    <t>GPS System and Training</t>
  </si>
  <si>
    <t>Budget &amp; Treasury Office</t>
  </si>
  <si>
    <t>Recording System / Video Camera</t>
  </si>
  <si>
    <t>Gazebo(2)</t>
  </si>
  <si>
    <t>Council vehicles(Speaker)</t>
  </si>
  <si>
    <t>ACTUAL</t>
  </si>
  <si>
    <t>ROLL OVER</t>
  </si>
  <si>
    <t>BUDGET</t>
  </si>
  <si>
    <t>Projects/Equipment to be implemented</t>
  </si>
  <si>
    <t>SUPPLY CHAIN MANAGEMENT IMPLEMENTATION (Report on the implementation of SDBIP)</t>
  </si>
  <si>
    <t>Budget Implementation</t>
  </si>
  <si>
    <t xml:space="preserve"> </t>
  </si>
  <si>
    <t>Capital Projects</t>
  </si>
  <si>
    <t>Expenditure per vote (section 71 of the MFMA)</t>
  </si>
  <si>
    <t>Vote No</t>
  </si>
  <si>
    <t>Description</t>
  </si>
  <si>
    <t>Department</t>
  </si>
  <si>
    <t>Budget</t>
  </si>
  <si>
    <t>Actual</t>
  </si>
  <si>
    <t>%</t>
  </si>
  <si>
    <t>0014</t>
  </si>
  <si>
    <t>Library</t>
  </si>
  <si>
    <t>Comm.Serv</t>
  </si>
  <si>
    <t>0018</t>
  </si>
  <si>
    <t>Disaster Management</t>
  </si>
  <si>
    <t>0020</t>
  </si>
  <si>
    <t>Taxi Rank</t>
  </si>
  <si>
    <t>0022</t>
  </si>
  <si>
    <t>EDP</t>
  </si>
  <si>
    <t>0028</t>
  </si>
  <si>
    <t>Vehicle Licensing &amp; Testing</t>
  </si>
  <si>
    <t>0029</t>
  </si>
  <si>
    <t>Tech.Serv</t>
  </si>
  <si>
    <t>0032</t>
  </si>
  <si>
    <t>Comm Halls &amp; Other</t>
  </si>
  <si>
    <t>Non appointment of budgeted personnel.</t>
  </si>
  <si>
    <t>0033</t>
  </si>
  <si>
    <t>Housing</t>
  </si>
  <si>
    <t>0034</t>
  </si>
  <si>
    <t>0036</t>
  </si>
  <si>
    <t>Public Toilets</t>
  </si>
  <si>
    <t>0038</t>
  </si>
  <si>
    <t>Cemetries &amp; Crematoriums</t>
  </si>
  <si>
    <t>0039</t>
  </si>
  <si>
    <t>Finance &amp; Admin IT</t>
  </si>
  <si>
    <t>Corps</t>
  </si>
  <si>
    <t>0040</t>
  </si>
  <si>
    <t>Executive &amp; Council</t>
  </si>
  <si>
    <t>0041</t>
  </si>
  <si>
    <t>Finance &amp; Admin Other</t>
  </si>
  <si>
    <t>Corps Finance</t>
  </si>
  <si>
    <t>0042</t>
  </si>
  <si>
    <t>Refuse Removal</t>
  </si>
  <si>
    <t>0043</t>
  </si>
  <si>
    <t>Sewerage</t>
  </si>
  <si>
    <t>0046</t>
  </si>
  <si>
    <t>Finance &amp; Admin HR</t>
  </si>
  <si>
    <t>0048</t>
  </si>
  <si>
    <t>Municipal Manager</t>
  </si>
  <si>
    <t>Exec &amp; Coun</t>
  </si>
  <si>
    <t>0050</t>
  </si>
  <si>
    <t>Finance &amp; Admin Finance</t>
  </si>
  <si>
    <t>Finance</t>
  </si>
  <si>
    <t>0052</t>
  </si>
  <si>
    <t>0054</t>
  </si>
  <si>
    <t>0058</t>
  </si>
  <si>
    <t>Workshop</t>
  </si>
  <si>
    <t>0062</t>
  </si>
  <si>
    <t>Water Storage</t>
  </si>
  <si>
    <t>Tech Serv</t>
  </si>
  <si>
    <t>0071</t>
  </si>
  <si>
    <t>Electricity</t>
  </si>
  <si>
    <t>0073</t>
  </si>
  <si>
    <t>Water</t>
  </si>
  <si>
    <t>Total</t>
  </si>
  <si>
    <t>Capital Expenditure</t>
  </si>
  <si>
    <t>Expenditure To Date</t>
  </si>
  <si>
    <t>Operating Expenditure</t>
  </si>
  <si>
    <t>Total Average for Capital &amp; Operating Expenditure</t>
  </si>
  <si>
    <t>IN HOUSE REPORT DECEMBER 2014</t>
  </si>
  <si>
    <t>INCOME FOR THE YEAR TO DATE</t>
  </si>
  <si>
    <t>Actual as Per Revenue Source</t>
  </si>
  <si>
    <t>Source</t>
  </si>
  <si>
    <t>Billed to date</t>
  </si>
  <si>
    <t xml:space="preserve">Received to date </t>
  </si>
  <si>
    <t>Assessment Rates</t>
  </si>
  <si>
    <t>Equitable Shares</t>
  </si>
  <si>
    <t>Traffic Fines</t>
  </si>
  <si>
    <t>Agencies fees</t>
  </si>
  <si>
    <t>Traffic Licences and Permits</t>
  </si>
  <si>
    <t>Interest from Outstanding Debtors</t>
  </si>
  <si>
    <t>Interest from External Investment</t>
  </si>
  <si>
    <t>Debt Impairment</t>
  </si>
  <si>
    <t>Interest Received: FNB</t>
  </si>
  <si>
    <t>Other Income</t>
  </si>
  <si>
    <t>Total Income Excluding Conditional Grants</t>
  </si>
  <si>
    <t>INCOME FROM CONDITIONAL GRANTS</t>
  </si>
  <si>
    <t>MUNICIPAL INFRASTRUCTURE GRANT (MIG)</t>
  </si>
  <si>
    <t>In terms of the Municipal Financial year 2014/2015</t>
  </si>
  <si>
    <t>To date Received</t>
  </si>
  <si>
    <t xml:space="preserve">MIG - Roll Over </t>
  </si>
  <si>
    <t>MIG</t>
  </si>
  <si>
    <t>MUNICIPAL SYSTEM IMPROVEMENT GRANT (MSIG)</t>
  </si>
  <si>
    <t>Accumulative figures from 2005/2006 to 2014/2015</t>
  </si>
  <si>
    <t>To date Transferred</t>
  </si>
  <si>
    <t>To date Expenditure</t>
  </si>
  <si>
    <t>Percentage</t>
  </si>
  <si>
    <t>Unspent Amount</t>
  </si>
  <si>
    <t>FINANCIAL MANAGEMENT GRANT (FMG)</t>
  </si>
  <si>
    <t>Spent since Inception (see last month)</t>
  </si>
  <si>
    <t>Spent this Month</t>
  </si>
  <si>
    <t>Total FMG Fund Spent</t>
  </si>
  <si>
    <t>Salaries</t>
  </si>
  <si>
    <t>Expenditure on staff benefits (section 66 of MFMA)</t>
  </si>
  <si>
    <t>Details</t>
  </si>
  <si>
    <t>Monthly</t>
  </si>
  <si>
    <t>Housing Subsidy</t>
  </si>
  <si>
    <t>Uniform</t>
  </si>
  <si>
    <t>Standby Allowance</t>
  </si>
  <si>
    <t>Group Insurance</t>
  </si>
  <si>
    <t>Industrial Council</t>
  </si>
  <si>
    <t>Medical Aid Fund</t>
  </si>
  <si>
    <t>Overtime</t>
  </si>
  <si>
    <t>Pension Fund</t>
  </si>
  <si>
    <t>Leave Redemption</t>
  </si>
  <si>
    <t>Leave Bonus</t>
  </si>
  <si>
    <t>Vehicle Allowance</t>
  </si>
  <si>
    <t>Total Salaries &amp;</t>
  </si>
  <si>
    <t>Allowance</t>
  </si>
  <si>
    <t>Expenditure on Councillors  Allowances</t>
  </si>
  <si>
    <t>Total allowance</t>
  </si>
  <si>
    <t>Councillors</t>
  </si>
  <si>
    <t>Overtime Per Department</t>
  </si>
  <si>
    <t>Community Hall</t>
  </si>
  <si>
    <t>Solution</t>
  </si>
  <si>
    <t>Staggering working hours.</t>
  </si>
  <si>
    <t>CASH RECEIPTS BY SOURCE</t>
  </si>
  <si>
    <t>July</t>
  </si>
  <si>
    <t>August</t>
  </si>
  <si>
    <t>September</t>
  </si>
  <si>
    <t>October</t>
  </si>
  <si>
    <t>November</t>
  </si>
  <si>
    <t>December</t>
  </si>
  <si>
    <t>January</t>
  </si>
  <si>
    <t>February</t>
  </si>
  <si>
    <t>March</t>
  </si>
  <si>
    <t>April</t>
  </si>
  <si>
    <t>May</t>
  </si>
  <si>
    <t>June</t>
  </si>
  <si>
    <t>Property rates</t>
  </si>
  <si>
    <t>Service charges - electricity revenue</t>
  </si>
  <si>
    <t>Service charges - refuse revenue</t>
  </si>
  <si>
    <t>Rental of facilities and equipment</t>
  </si>
  <si>
    <t>Interest earned - external investments</t>
  </si>
  <si>
    <t>Interest earned - outstanding debtors</t>
  </si>
  <si>
    <t>Fines</t>
  </si>
  <si>
    <t>Licences and permits</t>
  </si>
  <si>
    <t>Agency services</t>
  </si>
  <si>
    <t>Transfer receipts - operational</t>
  </si>
  <si>
    <t>Other revenue</t>
  </si>
  <si>
    <t>OTHER CASH FLOWS/ RECEIPTS BY SOURCE</t>
  </si>
  <si>
    <t>Transfer receipts - Capital</t>
  </si>
  <si>
    <t>CASH PAYMENT BY TYPE</t>
  </si>
  <si>
    <t>Employee related costs</t>
  </si>
  <si>
    <t>Remuneration of councillors</t>
  </si>
  <si>
    <t>Interest paid</t>
  </si>
  <si>
    <t>Bulk purchases - Electricity</t>
  </si>
  <si>
    <t>Contracted services</t>
  </si>
  <si>
    <t>General expenses</t>
  </si>
  <si>
    <t>OTHER CASH FLOW/PAYMENTS BY TYPE</t>
  </si>
  <si>
    <t>Capital Assets</t>
  </si>
  <si>
    <t>Payment of Borrowing</t>
  </si>
  <si>
    <t>TOTAL CASH PAYMENT BY TYPE</t>
  </si>
  <si>
    <t>NET INCREASE/DECREASE IN CASH HELD</t>
  </si>
  <si>
    <t>Main Account</t>
  </si>
  <si>
    <t>Traffic</t>
  </si>
  <si>
    <t xml:space="preserve">The money left in the Housing account has been utilised for completing a house at Madumeleng </t>
  </si>
  <si>
    <t xml:space="preserve">that was left incomplete for a number of years. The monies have not been transferred into </t>
  </si>
  <si>
    <t xml:space="preserve"> the main account as the account will be left with no money and it can lead to the account</t>
  </si>
  <si>
    <t xml:space="preserve"> being closed by the bank. The housing account is actually empty. Traffic account to be invested</t>
  </si>
  <si>
    <t>in short-term investment (call account)</t>
  </si>
  <si>
    <t>Investments</t>
  </si>
  <si>
    <t>The Municipality has got investments in the following institutions:</t>
  </si>
  <si>
    <t>Momentum</t>
  </si>
  <si>
    <t>Old Mutual</t>
  </si>
  <si>
    <t>NedGroup</t>
  </si>
  <si>
    <t>ABSA</t>
  </si>
  <si>
    <t>Investec</t>
  </si>
  <si>
    <r>
      <t>The value of the investments as at</t>
    </r>
    <r>
      <rPr>
        <b/>
        <sz val="11"/>
        <color theme="1"/>
        <rFont val="Calibri"/>
        <family val="2"/>
        <scheme val="minor"/>
      </rPr>
      <t xml:space="preserve"> 31 July 2014</t>
    </r>
    <r>
      <rPr>
        <sz val="11"/>
        <color theme="1"/>
        <rFont val="Calibri"/>
        <family val="2"/>
        <scheme val="minor"/>
      </rPr>
      <t xml:space="preserve"> amounts to </t>
    </r>
    <r>
      <rPr>
        <b/>
        <sz val="11"/>
        <color theme="1"/>
        <rFont val="Calibri"/>
        <family val="2"/>
        <scheme val="minor"/>
      </rPr>
      <t>R69 427 714</t>
    </r>
  </si>
  <si>
    <t>Momentum investment is held as security for the DBSA loan, to be changed from a call account</t>
  </si>
  <si>
    <t>to a long term investment to yield better interest rate.</t>
  </si>
  <si>
    <t>ABSA investment to be withdrawn as it is a fixed deposit and not held as security for DBSA.</t>
  </si>
  <si>
    <t>Monthly Withdrawals from the Bank</t>
  </si>
  <si>
    <t>Month</t>
  </si>
  <si>
    <t>Amount</t>
  </si>
  <si>
    <t>Total Withdrawals To Date</t>
  </si>
  <si>
    <t>Long Term Loans</t>
  </si>
  <si>
    <t xml:space="preserve">An agreement for the repayment of the loan has been drawn. The municipality has to make </t>
  </si>
  <si>
    <r>
      <t xml:space="preserve">is </t>
    </r>
    <r>
      <rPr>
        <b/>
        <sz val="11"/>
        <color theme="1"/>
        <rFont val="Calibri"/>
        <family val="2"/>
        <scheme val="minor"/>
      </rPr>
      <t>R7 372 868.00</t>
    </r>
    <r>
      <rPr>
        <sz val="11"/>
        <color theme="1"/>
        <rFont val="Calibri"/>
        <family val="2"/>
        <scheme val="minor"/>
      </rPr>
      <t xml:space="preserve"> for the DBSA loan.</t>
    </r>
  </si>
  <si>
    <t>Bank Balances as at 31 December 2014</t>
  </si>
  <si>
    <t>four(4) equal instalments of R 540 654 quarterly for 15 years. The balance as at 31 December 2014</t>
  </si>
  <si>
    <t>Debtors Age Analysis</t>
  </si>
  <si>
    <t>Total billing for the year 2014/2015</t>
  </si>
  <si>
    <t>Total Payments Received for the year 2014/2015</t>
  </si>
  <si>
    <t>Total Outstanding Debts for the year 2014/2015</t>
  </si>
  <si>
    <t>Total Oustanding Debts owed by the Departments</t>
  </si>
  <si>
    <t>Detail</t>
  </si>
  <si>
    <t xml:space="preserve">0-30 </t>
  </si>
  <si>
    <t xml:space="preserve">31-60 </t>
  </si>
  <si>
    <t xml:space="preserve">61-90 </t>
  </si>
  <si>
    <t xml:space="preserve">91-120 </t>
  </si>
  <si>
    <t xml:space="preserve">121-150 </t>
  </si>
  <si>
    <t>Days</t>
  </si>
  <si>
    <t xml:space="preserve">Debtors Age </t>
  </si>
  <si>
    <t xml:space="preserve">Analysis by </t>
  </si>
  <si>
    <t>Income Source</t>
  </si>
  <si>
    <t xml:space="preserve">Water </t>
  </si>
  <si>
    <t>Tariffs</t>
  </si>
  <si>
    <t xml:space="preserve">Electricity </t>
  </si>
  <si>
    <t>Rates (Property</t>
  </si>
  <si>
    <t>Rates )</t>
  </si>
  <si>
    <t xml:space="preserve">Sewerage/ </t>
  </si>
  <si>
    <t>Sanitation Tariffs</t>
  </si>
  <si>
    <t>Housing (Rental</t>
  </si>
  <si>
    <t>Income)</t>
  </si>
  <si>
    <t>RSC Levies</t>
  </si>
  <si>
    <t>Other</t>
  </si>
  <si>
    <t>Total By Income</t>
  </si>
  <si>
    <t>Customer Group</t>
  </si>
  <si>
    <t>Government</t>
  </si>
  <si>
    <t>Business</t>
  </si>
  <si>
    <t>Households</t>
  </si>
  <si>
    <t xml:space="preserve">Total By </t>
  </si>
  <si>
    <t>Free Basic Electricity</t>
  </si>
  <si>
    <t>Approved Beneficiaries for Free Basic Electricity by Eskom</t>
  </si>
  <si>
    <t>Wards</t>
  </si>
  <si>
    <t>Configure No</t>
  </si>
  <si>
    <t>Submitted Applications</t>
  </si>
  <si>
    <t>0</t>
  </si>
  <si>
    <t xml:space="preserve">Own licenced </t>
  </si>
  <si>
    <t>FBE</t>
  </si>
  <si>
    <t>On average, the monthly account for FBE amounts to  R70 230.17 vat  exclusive.</t>
  </si>
  <si>
    <t>Beneficiaries do not collect the coupons and this leads to Eskom cancelling the applications.</t>
  </si>
  <si>
    <t>We do not have reliable statistics for all the individuals that receive Free Basic Water.</t>
  </si>
  <si>
    <t>We rely on the indigent register (27 324 Boreholes and Water tanker truck deliveries)</t>
  </si>
  <si>
    <t>We have 29 indigents in Ga-kgapane ,Senwamokgope and  Modjadjiskloof receiving the following</t>
  </si>
  <si>
    <t>Free Basic Sewerage (total monthly charge)</t>
  </si>
  <si>
    <t>Free Basic Water (6kl)</t>
  </si>
  <si>
    <t>Free Basic refuse (total monthly charge)</t>
  </si>
  <si>
    <t>After the implementation of the Municipal Property Act, their properties had rebates that allowed</t>
  </si>
  <si>
    <t>them not to be charged the rates at all (zero rate due to rebates)</t>
  </si>
  <si>
    <t>We have 68 indigent in Mokgoba receiving Electricity only</t>
  </si>
  <si>
    <t>MUNICIPAL SYSTEMS IMPROVEMENT GRANT (MSIG)</t>
  </si>
  <si>
    <t>MSIG</t>
  </si>
  <si>
    <t>FINANCE MANAGEMENT GRANT (FMG)</t>
  </si>
  <si>
    <t>FMG</t>
  </si>
  <si>
    <t>EXTENDED PUBLIC WORKS PROGRAMME  (EPWP)</t>
  </si>
  <si>
    <t>EPWP</t>
  </si>
  <si>
    <t>Conclusion</t>
  </si>
  <si>
    <t>There is great improvement on procuring of goods and implemtation of projects</t>
  </si>
  <si>
    <t>Appointment of personnel budgeted for.</t>
  </si>
  <si>
    <t>Improved implementation of Credit Control and debt collection policy</t>
  </si>
  <si>
    <r>
      <t>1.</t>
    </r>
    <r>
      <rPr>
        <b/>
        <sz val="7"/>
        <color theme="1"/>
        <rFont val="Times New Roman"/>
        <family val="1"/>
      </rPr>
      <t xml:space="preserve">    </t>
    </r>
    <r>
      <rPr>
        <b/>
        <sz val="11"/>
        <color theme="1"/>
        <rFont val="Arial"/>
        <family val="2"/>
      </rPr>
      <t xml:space="preserve">INTRODUCTION </t>
    </r>
  </si>
  <si>
    <t>This report encompasses the 2013/2014 Mid-year Budget and Performance Assessment Report which has been compiled in accordance with Section 72  of the Municipal Finance Management Act, Act 56 of 2003 (MFMA). The report provides an overview of the applicable legislative framework and the manner in which the Municipality has performed with regard to Service Delivery Implementation Plan.</t>
  </si>
  <si>
    <r>
      <t>2.</t>
    </r>
    <r>
      <rPr>
        <b/>
        <sz val="7"/>
        <color theme="1"/>
        <rFont val="Times New Roman"/>
        <family val="1"/>
      </rPr>
      <t xml:space="preserve">    </t>
    </r>
    <r>
      <rPr>
        <b/>
        <sz val="11"/>
        <color theme="1"/>
        <rFont val="Arial"/>
        <family val="2"/>
      </rPr>
      <t>LEGISLATIVE BACKGROUND</t>
    </r>
  </si>
  <si>
    <r>
      <t>2.1.</t>
    </r>
    <r>
      <rPr>
        <b/>
        <sz val="7"/>
        <color theme="1"/>
        <rFont val="Times New Roman"/>
        <family val="1"/>
      </rPr>
      <t xml:space="preserve">        </t>
    </r>
    <r>
      <rPr>
        <b/>
        <sz val="11"/>
        <color theme="1"/>
        <rFont val="Arial"/>
        <family val="2"/>
      </rPr>
      <t>Municipal Finance Management Act, 2003</t>
    </r>
  </si>
  <si>
    <t>Section 72, of the MFMA 2003, says the following regarding the mid-year budget and performance assessment:</t>
  </si>
  <si>
    <t xml:space="preserve">The Accounting Officer of a municipality must by 25 January of each year; </t>
  </si>
  <si>
    <t>Assess the performance of the municipality during the first half of the financial year, taking into account:</t>
  </si>
  <si>
    <t>The monthly statements</t>
  </si>
  <si>
    <t>Municipality’s service delivery performance during the first half of the financial year- service delivery targets and performance indicators set in the Service Delivery and Budget Implementation Plan</t>
  </si>
  <si>
    <t>The past year’s annual report and progress on resolving problems identified in the annual report.</t>
  </si>
  <si>
    <t>The Accounting Officer is expected to submit a report on such assessment to the Mayor of the municipality, the National Treasury and the relevant provincial treasury.</t>
  </si>
  <si>
    <r>
      <rPr>
        <b/>
        <sz val="12"/>
        <color indexed="8"/>
        <rFont val="Arial"/>
        <family val="2"/>
      </rPr>
      <t xml:space="preserve">o National Government-Wide program for local government: </t>
    </r>
    <r>
      <rPr>
        <sz val="12"/>
        <color indexed="8"/>
        <rFont val="Arial"/>
        <family val="2"/>
      </rPr>
      <t xml:space="preserve">the 5 YR Local Government Strategic Agenda is a national program of the government that was approved by the Cabinet Lekgotla in January 2006. The goal of the program over the medium term is accelerate basic service provision and to meet the targets set universal access as outlined in the VISION 2014 and other targets basic services. The goal presupposes that municipalities are effective and capable of achieving their constitutional mandates for a developmental local government. This is based on the premise that local government should have the fiscal resources and powers to recruit, absorb, and retain appropriate managerial, professional, and technical skills into their establishments. Linked to this is the assumption that the other spheres have the appropriate capacity to play their part in cooperative government and to discharge their responsibilities to monitor, support and regulate local government; </t>
    </r>
  </si>
  <si>
    <r>
      <rPr>
        <b/>
        <sz val="12"/>
        <color indexed="8"/>
        <rFont val="Arial"/>
        <family val="2"/>
      </rPr>
      <t xml:space="preserve">o Executive Oversight on the implementation of the local government strategic agenda: </t>
    </r>
    <r>
      <rPr>
        <sz val="12"/>
        <color indexed="8"/>
        <rFont val="Arial"/>
        <family val="2"/>
      </rPr>
      <t>The five year strategic agenda serves standing item intergovernmental forums in all spheres of government. The National Parliament and the Provincial Legislature uses the Five Year Strategic Agenda to assess the support role play by the national/ provincial Departments in municipalities. Therefore the specific IGR structures are the Presidential Coordinating Council (PCC); the Premiers Coordinating Forum; District Coordinating Forum</t>
    </r>
  </si>
  <si>
    <r>
      <rPr>
        <b/>
        <sz val="12"/>
        <color indexed="8"/>
        <rFont val="Arial"/>
        <family val="2"/>
      </rPr>
      <t xml:space="preserve">o Government-Wide Monitoring and Evaluation: </t>
    </r>
    <r>
      <rPr>
        <sz val="12"/>
        <color indexed="8"/>
        <rFont val="Arial"/>
        <family val="2"/>
      </rPr>
      <t>the monitoring and evaluation of the local government strategic agenda forms part of the Government-Wide Monitoring and Evaluation implementation Plan;</t>
    </r>
  </si>
  <si>
    <r>
      <rPr>
        <b/>
        <sz val="12"/>
        <color indexed="8"/>
        <rFont val="Arial"/>
        <family val="2"/>
      </rPr>
      <t xml:space="preserve">o National Targets: </t>
    </r>
    <r>
      <rPr>
        <sz val="12"/>
        <color indexed="8"/>
        <rFont val="Arial"/>
        <family val="2"/>
      </rPr>
      <t>the implementation plan to be developed by the municipalities on the implementation of the Five Year Local Government Strategic Agenda</t>
    </r>
    <r>
      <rPr>
        <b/>
        <sz val="12"/>
        <color indexed="8"/>
        <rFont val="Arial"/>
        <family val="2"/>
      </rPr>
      <t xml:space="preserve"> </t>
    </r>
    <r>
      <rPr>
        <sz val="12"/>
        <color indexed="8"/>
        <rFont val="Arial"/>
        <family val="2"/>
      </rPr>
      <t xml:space="preserve">should be informed by the national targets set for the government in the VISION 2014 Manifesto as approved by Cabinet. </t>
    </r>
  </si>
  <si>
    <r>
      <rPr>
        <b/>
        <sz val="12"/>
        <color indexed="8"/>
        <rFont val="Arial"/>
        <family val="2"/>
      </rPr>
      <t xml:space="preserve">o Five Key Performance Area: </t>
    </r>
    <r>
      <rPr>
        <sz val="12"/>
        <color indexed="8"/>
        <rFont val="Arial"/>
        <family val="2"/>
      </rPr>
      <t xml:space="preserve">the Local Government Strategic Agenda is structured into five Key Performance Areas, from which the targets and performance indicators are based, namely, </t>
    </r>
  </si>
  <si>
    <t xml:space="preserve">   o KPA 1: Municipal Transformation and Organisational 
      Development</t>
  </si>
  <si>
    <t xml:space="preserve">   o KPA 2: Basic Service Delivery</t>
  </si>
  <si>
    <t xml:space="preserve">   o KPA 3: Local Economic Development</t>
  </si>
  <si>
    <t xml:space="preserve">   o KPA 4: Municipal Financial Viability and Management</t>
  </si>
  <si>
    <t xml:space="preserve">   o KPA 5: Good Governance and Public Participation</t>
  </si>
  <si>
    <t>2.2.        OTHER LEGISLATIONS</t>
  </si>
  <si>
    <t xml:space="preserve">The Strategy Map depicts the Strategic Objectives on how Greater Letaba Municipality will be able to become an outstanding agro-processing and eco-cultural tourism hub while providing sustainable and affordable services to all.   These objectives were positioned in terms of the Balanced Scorecard Perspectives being:  Learning and Growth; Institutional Processes; Financial results and Community Satisfaction.  All operational outputs (projects, initiatives and process) as contained within the SDBIP are aligned to the attainment of one or more of these objectives. </t>
  </si>
  <si>
    <t>Strategy map</t>
  </si>
  <si>
    <t xml:space="preserve">The strategic vision of the organisation sets the long term goal the Municipality wants to achieve. The vision of Greater Letaba Municipality is:
"To be an outstanding agro-processing and eco-cultural tourism hub.
The strategic Mission Speaks about what the purpose of Greater Letaba Municipality is:
The mission of Greater Letaba Municipality is to ensure an effective, efficient and economically viable municipality through:
  Provision of accountable, transparent, consultative and co-operative governance
  Improving the quality of life through economic development and poverty alleviation
  Provision of sustainable services
  Ensuring a safe and healthy environment
</t>
  </si>
  <si>
    <t>Vision and Mission</t>
  </si>
  <si>
    <t>SERVICE DELIVERY PERFORMANCE SUMMARY</t>
  </si>
  <si>
    <t>Municipal Transformation and Organisational Development</t>
  </si>
  <si>
    <t>Basic ServiceDelivery</t>
  </si>
  <si>
    <t>Municipal Finance Management Viability</t>
  </si>
  <si>
    <t>Good Governance and Public Participation</t>
  </si>
  <si>
    <t>KPA</t>
  </si>
  <si>
    <t>% Target achieved</t>
  </si>
  <si>
    <t>No. of targets achieved</t>
  </si>
  <si>
    <t>Target achieved. Database submitted to COGHSTA by the 12 December 2015</t>
  </si>
  <si>
    <t>Target not achieved. No communication programme / event was done.</t>
  </si>
  <si>
    <t>Target achieved.  51.3%</t>
  </si>
  <si>
    <t>Target achieved. 100%. All service providers appointed have service provifers</t>
  </si>
  <si>
    <r>
      <t xml:space="preserve">No. of Applicable  Indicators </t>
    </r>
    <r>
      <rPr>
        <b/>
        <sz val="8"/>
        <color theme="1"/>
        <rFont val="Calibri"/>
        <family val="2"/>
        <scheme val="minor"/>
      </rPr>
      <t>(Including projects)</t>
    </r>
  </si>
  <si>
    <t>Overall % = 30.45%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</si>
</sst>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R&quot;\ #,##0;[Red]&quot;R&quot;\ \-#,##0"/>
    <numFmt numFmtId="7" formatCode="&quot;R&quot;\ #,##0.00;&quot;R&quot;\ \-#,##0.00"/>
    <numFmt numFmtId="8" formatCode="&quot;R&quot;\ #,##0.00;[Red]&quot;R&quot;\ \-#,##0.00"/>
    <numFmt numFmtId="42" formatCode="_ &quot;R&quot;\ * #,##0_ ;_ &quot;R&quot;\ * \-#,##0_ ;_ &quot;R&quot;\ * &quot;-&quot;_ ;_ @_ "/>
    <numFmt numFmtId="41" formatCode="_ * #,##0_ ;_ * \-#,##0_ ;_ * &quot;-&quot;_ ;_ @_ "/>
    <numFmt numFmtId="44" formatCode="_ &quot;R&quot;\ * #,##0.00_ ;_ &quot;R&quot;\ * \-#,##0.00_ ;_ &quot;R&quot;\ * &quot;-&quot;??_ ;_ @_ "/>
    <numFmt numFmtId="43" formatCode="_ * #,##0.00_ ;_ * \-#,##0.00_ ;_ * &quot;-&quot;??_ ;_ @_ "/>
    <numFmt numFmtId="164" formatCode="_(&quot;$&quot;* #,##0.00_);_(&quot;$&quot;* \(#,##0.00\);_(&quot;$&quot;* &quot;-&quot;??_);_(@_)"/>
    <numFmt numFmtId="165" formatCode="_(* #,##0.00_);_(* \(#,##0.00\);_(* &quot;-&quot;??_);_(@_)"/>
    <numFmt numFmtId="166" formatCode="&quot;R&quot;\ #,##0.00"/>
    <numFmt numFmtId="167" formatCode="_ [$R-1C09]\ * #,##0.00_ ;_ [$R-1C09]\ * \-#,##0.00_ ;_ [$R-1C09]\ * &quot;-&quot;??_ ;_ @_ "/>
    <numFmt numFmtId="168" formatCode="_ * #,##0.00_ ;_ * \-#,##0.00_ ;_ * &quot;-&quot;_ ;_ @_ "/>
    <numFmt numFmtId="169" formatCode="_ &quot;R&quot;\ * #,##0_ ;_ &quot;R&quot;\ * \-#,##0_ ;_ &quot;R&quot;\ * &quot;-&quot;??_ ;_ @_ "/>
  </numFmts>
  <fonts count="68" x14ac:knownFonts="1">
    <font>
      <sz val="11"/>
      <color theme="1"/>
      <name val="Calibri"/>
      <family val="2"/>
      <scheme val="minor"/>
    </font>
    <font>
      <sz val="11"/>
      <color indexed="9"/>
      <name val="Calibri"/>
      <family val="2"/>
    </font>
    <font>
      <sz val="11"/>
      <color indexed="8"/>
      <name val="Aharoni"/>
      <charset val="177"/>
    </font>
    <font>
      <sz val="10"/>
      <name val="Arial"/>
      <family val="2"/>
    </font>
    <font>
      <b/>
      <sz val="10"/>
      <name val="Arial Narrow"/>
      <family val="2"/>
    </font>
    <font>
      <b/>
      <u/>
      <sz val="10"/>
      <name val="Arial Narrow"/>
      <family val="2"/>
    </font>
    <font>
      <b/>
      <sz val="10"/>
      <name val="Arial"/>
      <family val="2"/>
    </font>
    <font>
      <sz val="8"/>
      <name val="Arial"/>
      <family val="2"/>
    </font>
    <font>
      <sz val="11"/>
      <color theme="1"/>
      <name val="Calibri"/>
      <family val="2"/>
      <scheme val="minor"/>
    </font>
    <font>
      <sz val="11"/>
      <color theme="1"/>
      <name val="Arial Narrow"/>
      <family val="2"/>
    </font>
    <font>
      <sz val="8"/>
      <color rgb="FF000000"/>
      <name val="Arial"/>
      <family val="2"/>
    </font>
    <font>
      <sz val="8"/>
      <color theme="1"/>
      <name val="Arial"/>
      <family val="2"/>
    </font>
    <font>
      <b/>
      <sz val="8"/>
      <color rgb="FF000000"/>
      <name val="Arial"/>
      <family val="2"/>
    </font>
    <font>
      <sz val="11"/>
      <color theme="1"/>
      <name val="Gill Sans MT"/>
      <family val="2"/>
    </font>
    <font>
      <sz val="10"/>
      <color rgb="FF000000"/>
      <name val="Arial"/>
      <family val="2"/>
    </font>
    <font>
      <b/>
      <sz val="10"/>
      <color rgb="FF000000"/>
      <name val="Arial"/>
      <family val="2"/>
    </font>
    <font>
      <sz val="10"/>
      <color theme="1"/>
      <name val="Arial"/>
      <family val="2"/>
    </font>
    <font>
      <sz val="10"/>
      <color theme="1"/>
      <name val="Calibri"/>
      <family val="2"/>
      <scheme val="minor"/>
    </font>
    <font>
      <b/>
      <u/>
      <sz val="10"/>
      <color rgb="FF000000"/>
      <name val="Arial"/>
      <family val="2"/>
    </font>
    <font>
      <b/>
      <u/>
      <sz val="8"/>
      <color rgb="FF000000"/>
      <name val="Arial"/>
      <family val="2"/>
    </font>
    <font>
      <sz val="11"/>
      <name val="Calibri"/>
      <family val="2"/>
      <scheme val="minor"/>
    </font>
    <font>
      <sz val="9"/>
      <name val="Calibri"/>
      <family val="2"/>
      <scheme val="minor"/>
    </font>
    <font>
      <sz val="9"/>
      <color theme="1"/>
      <name val="Calibri"/>
      <family val="2"/>
      <scheme val="minor"/>
    </font>
    <font>
      <sz val="8"/>
      <color theme="1"/>
      <name val="Calibri"/>
      <family val="2"/>
      <scheme val="minor"/>
    </font>
    <font>
      <b/>
      <u/>
      <sz val="9"/>
      <color rgb="FF000000"/>
      <name val="Arial"/>
      <family val="2"/>
    </font>
    <font>
      <sz val="9"/>
      <color indexed="81"/>
      <name val="Tahoma"/>
      <family val="2"/>
    </font>
    <font>
      <b/>
      <sz val="9"/>
      <color indexed="81"/>
      <name val="Tahoma"/>
      <family val="2"/>
    </font>
    <font>
      <sz val="9"/>
      <color rgb="FF000000"/>
      <name val="Arial"/>
      <family val="2"/>
    </font>
    <font>
      <sz val="9"/>
      <name val="Arial"/>
      <family val="2"/>
    </font>
    <font>
      <sz val="9"/>
      <color theme="1"/>
      <name val="Arial"/>
      <family val="2"/>
    </font>
    <font>
      <sz val="8"/>
      <color theme="1"/>
      <name val="Cambria"/>
      <family val="1"/>
      <scheme val="major"/>
    </font>
    <font>
      <b/>
      <sz val="11"/>
      <color theme="1"/>
      <name val="Calibri"/>
      <family val="2"/>
      <scheme val="minor"/>
    </font>
    <font>
      <b/>
      <sz val="11"/>
      <name val="Arial"/>
      <family val="2"/>
    </font>
    <font>
      <sz val="10"/>
      <name val="Calibri"/>
      <family val="2"/>
      <scheme val="minor"/>
    </font>
    <font>
      <sz val="10"/>
      <color rgb="FFFF0000"/>
      <name val="Calibri"/>
      <family val="2"/>
      <scheme val="minor"/>
    </font>
    <font>
      <b/>
      <sz val="30"/>
      <color indexed="8"/>
      <name val="Arial"/>
      <family val="2"/>
    </font>
    <font>
      <b/>
      <sz val="26"/>
      <color indexed="8"/>
      <name val="Arial"/>
      <family val="2"/>
    </font>
    <font>
      <b/>
      <sz val="8"/>
      <color theme="1"/>
      <name val="Arial"/>
      <family val="2"/>
    </font>
    <font>
      <sz val="8"/>
      <name val="Calibri"/>
      <family val="2"/>
      <scheme val="minor"/>
    </font>
    <font>
      <b/>
      <sz val="8"/>
      <name val="Arial"/>
      <family val="2"/>
    </font>
    <font>
      <u/>
      <sz val="8"/>
      <color theme="1"/>
      <name val="Calibri"/>
      <family val="2"/>
      <scheme val="minor"/>
    </font>
    <font>
      <b/>
      <u val="singleAccounting"/>
      <sz val="8"/>
      <color theme="1"/>
      <name val="Calibri"/>
      <family val="2"/>
      <scheme val="minor"/>
    </font>
    <font>
      <b/>
      <u/>
      <sz val="8"/>
      <name val="Arial"/>
      <family val="2"/>
    </font>
    <font>
      <b/>
      <sz val="8"/>
      <color theme="1"/>
      <name val="Calibri"/>
      <family val="2"/>
      <scheme val="minor"/>
    </font>
    <font>
      <b/>
      <u val="singleAccounting"/>
      <sz val="8"/>
      <name val="Arial"/>
      <family val="2"/>
    </font>
    <font>
      <b/>
      <u val="singleAccounting"/>
      <sz val="9"/>
      <name val="Arial"/>
      <family val="2"/>
    </font>
    <font>
      <sz val="11"/>
      <name val="Arial"/>
      <family val="2"/>
    </font>
    <font>
      <b/>
      <u val="singleAccounting"/>
      <sz val="9"/>
      <color theme="1"/>
      <name val="Calibri"/>
      <family val="2"/>
      <scheme val="minor"/>
    </font>
    <font>
      <b/>
      <u/>
      <sz val="11"/>
      <color theme="1"/>
      <name val="Calibri"/>
      <family val="2"/>
      <scheme val="minor"/>
    </font>
    <font>
      <b/>
      <sz val="11"/>
      <color theme="1"/>
      <name val="Arial"/>
      <family val="2"/>
    </font>
    <font>
      <b/>
      <u/>
      <sz val="8"/>
      <color theme="1"/>
      <name val="Calibri"/>
      <family val="2"/>
      <scheme val="minor"/>
    </font>
    <font>
      <b/>
      <u/>
      <sz val="14"/>
      <color theme="1"/>
      <name val="Calibri"/>
      <family val="2"/>
      <scheme val="minor"/>
    </font>
    <font>
      <b/>
      <u/>
      <sz val="12"/>
      <color theme="1"/>
      <name val="Calibri"/>
      <family val="2"/>
      <scheme val="minor"/>
    </font>
    <font>
      <b/>
      <sz val="14"/>
      <color theme="1"/>
      <name val="Calibri"/>
      <family val="2"/>
      <scheme val="minor"/>
    </font>
    <font>
      <b/>
      <sz val="12"/>
      <color theme="1"/>
      <name val="Calibri"/>
      <family val="2"/>
      <scheme val="minor"/>
    </font>
    <font>
      <b/>
      <u val="singleAccounting"/>
      <sz val="11"/>
      <color theme="1"/>
      <name val="Calibri"/>
      <family val="2"/>
      <scheme val="minor"/>
    </font>
    <font>
      <u val="singleAccounting"/>
      <sz val="12"/>
      <color theme="1"/>
      <name val="Calibri"/>
      <family val="2"/>
      <scheme val="minor"/>
    </font>
    <font>
      <u val="singleAccounting"/>
      <sz val="11"/>
      <color theme="1"/>
      <name val="Calibri"/>
      <family val="2"/>
      <scheme val="minor"/>
    </font>
    <font>
      <sz val="12"/>
      <color indexed="8"/>
      <name val="Arial"/>
      <family val="2"/>
    </font>
    <font>
      <b/>
      <sz val="12"/>
      <color theme="1"/>
      <name val="Arial"/>
      <family val="2"/>
    </font>
    <font>
      <b/>
      <sz val="12"/>
      <color indexed="8"/>
      <name val="Arial"/>
      <family val="2"/>
    </font>
    <font>
      <sz val="12"/>
      <color theme="1"/>
      <name val="Century Gothic"/>
      <family val="2"/>
    </font>
    <font>
      <sz val="11"/>
      <color theme="1"/>
      <name val="Century Gothic"/>
      <family val="2"/>
    </font>
    <font>
      <b/>
      <sz val="7"/>
      <color theme="1"/>
      <name val="Times New Roman"/>
      <family val="1"/>
    </font>
    <font>
      <sz val="12"/>
      <color rgb="FF000000"/>
      <name val="Century Gothic"/>
      <family val="2"/>
    </font>
    <font>
      <b/>
      <sz val="12"/>
      <color rgb="FF000000"/>
      <name val="Arial"/>
      <family val="2"/>
    </font>
    <font>
      <sz val="12"/>
      <color rgb="FF000000"/>
      <name val="Arial"/>
      <family val="2"/>
    </font>
    <font>
      <sz val="12"/>
      <color theme="1"/>
      <name val="Arial Narrow"/>
      <family val="2"/>
    </font>
  </fonts>
  <fills count="14">
    <fill>
      <patternFill patternType="none"/>
    </fill>
    <fill>
      <patternFill patternType="gray125"/>
    </fill>
    <fill>
      <patternFill patternType="solid">
        <fgColor indexed="57"/>
        <bgColor indexed="10"/>
      </patternFill>
    </fill>
    <fill>
      <patternFill patternType="solid">
        <fgColor theme="3" tint="0.39997558519241921"/>
        <bgColor indexed="64"/>
      </patternFill>
    </fill>
    <fill>
      <patternFill patternType="solid">
        <fgColor theme="9"/>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99"/>
        <bgColor indexed="64"/>
      </patternFill>
    </fill>
  </fills>
  <borders count="51">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rgb="FF0D0D0D"/>
      </left>
      <right style="double">
        <color rgb="FF0D0D0D"/>
      </right>
      <top style="double">
        <color rgb="FF0D0D0D"/>
      </top>
      <bottom style="double">
        <color rgb="FF0D0D0D"/>
      </bottom>
      <diagonal/>
    </border>
    <border>
      <left style="double">
        <color rgb="FF0D0D0D"/>
      </left>
      <right/>
      <top style="double">
        <color rgb="FF0D0D0D"/>
      </top>
      <bottom/>
      <diagonal/>
    </border>
    <border>
      <left style="double">
        <color rgb="FF0D0D0D"/>
      </left>
      <right style="double">
        <color rgb="FF0D0D0D"/>
      </right>
      <top/>
      <bottom style="double">
        <color rgb="FF0D0D0D"/>
      </bottom>
      <diagonal/>
    </border>
    <border>
      <left style="double">
        <color rgb="FF0D0D0D"/>
      </left>
      <right/>
      <top/>
      <bottom style="double">
        <color rgb="FF0D0D0D"/>
      </bottom>
      <diagonal/>
    </border>
    <border>
      <left/>
      <right/>
      <top style="double">
        <color rgb="FF0D0D0D"/>
      </top>
      <bottom/>
      <diagonal/>
    </border>
    <border>
      <left/>
      <right style="double">
        <color rgb="FF0D0D0D"/>
      </right>
      <top style="double">
        <color rgb="FF0D0D0D"/>
      </top>
      <bottom/>
      <diagonal/>
    </border>
    <border>
      <left style="double">
        <color rgb="FF0D0D0D"/>
      </left>
      <right/>
      <top/>
      <bottom/>
      <diagonal/>
    </border>
    <border>
      <left/>
      <right style="double">
        <color rgb="FF0D0D0D"/>
      </right>
      <top/>
      <bottom/>
      <diagonal/>
    </border>
    <border>
      <left/>
      <right/>
      <top/>
      <bottom style="double">
        <color rgb="FF0D0D0D"/>
      </bottom>
      <diagonal/>
    </border>
    <border>
      <left/>
      <right style="double">
        <color rgb="FF0D0D0D"/>
      </right>
      <top/>
      <bottom style="double">
        <color rgb="FF0D0D0D"/>
      </bottom>
      <diagonal/>
    </border>
    <border>
      <left style="double">
        <color auto="1"/>
      </left>
      <right style="double">
        <color auto="1"/>
      </right>
      <top style="double">
        <color auto="1"/>
      </top>
      <bottom style="double">
        <color auto="1"/>
      </bottom>
      <diagonal/>
    </border>
    <border>
      <left style="medium">
        <color indexed="64"/>
      </left>
      <right style="medium">
        <color indexed="64"/>
      </right>
      <top/>
      <bottom style="medium">
        <color indexed="64"/>
      </bottom>
      <diagonal/>
    </border>
    <border>
      <left style="double">
        <color rgb="FF0D0D0D"/>
      </left>
      <right style="double">
        <color rgb="FF0D0D0D"/>
      </right>
      <top style="double">
        <color rgb="FF0D0D0D"/>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indexed="64"/>
      </left>
      <right style="double">
        <color indexed="64"/>
      </right>
      <top style="double">
        <color indexed="64"/>
      </top>
      <bottom/>
      <diagonal/>
    </border>
    <border>
      <left style="double">
        <color rgb="FF0D0D0D"/>
      </left>
      <right style="double">
        <color auto="1"/>
      </right>
      <top/>
      <bottom style="double">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indexed="64"/>
      </right>
      <top/>
      <bottom style="double">
        <color auto="1"/>
      </bottom>
      <diagonal/>
    </border>
    <border>
      <left style="double">
        <color indexed="64"/>
      </left>
      <right style="double">
        <color indexed="64"/>
      </right>
      <top/>
      <bottom/>
      <diagonal/>
    </border>
    <border>
      <left style="double">
        <color rgb="FF0D0D0D"/>
      </left>
      <right/>
      <top style="double">
        <color rgb="FF0D0D0D"/>
      </top>
      <bottom style="double">
        <color rgb="FF0D0D0D"/>
      </bottom>
      <diagonal/>
    </border>
    <border>
      <left/>
      <right/>
      <top style="double">
        <color rgb="FF0D0D0D"/>
      </top>
      <bottom style="double">
        <color rgb="FF0D0D0D"/>
      </bottom>
      <diagonal/>
    </border>
    <border>
      <left/>
      <right style="double">
        <color rgb="FF0D0D0D"/>
      </right>
      <top style="double">
        <color rgb="FF0D0D0D"/>
      </top>
      <bottom style="double">
        <color rgb="FF0D0D0D"/>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184">
    <xf numFmtId="0" fontId="0" fillId="0" borderId="0"/>
    <xf numFmtId="0" fontId="1" fillId="2" borderId="0" applyNumberFormat="0" applyBorder="0" applyAlignment="0" applyProtection="0"/>
    <xf numFmtId="0" fontId="1" fillId="2" borderId="0" applyNumberFormat="0" applyBorder="0" applyAlignment="0" applyProtection="0"/>
    <xf numFmtId="43" fontId="8" fillId="0" borderId="0" applyFont="0" applyFill="0" applyBorder="0" applyAlignment="0" applyProtection="0"/>
    <xf numFmtId="43" fontId="2"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cellStyleXfs>
  <cellXfs count="566">
    <xf numFmtId="0" fontId="0" fillId="0" borderId="0" xfId="0"/>
    <xf numFmtId="0" fontId="0" fillId="3" borderId="0" xfId="0" applyFill="1"/>
    <xf numFmtId="0" fontId="0" fillId="0" borderId="0" xfId="0" applyFont="1"/>
    <xf numFmtId="0" fontId="10" fillId="5" borderId="5" xfId="0" applyFont="1" applyFill="1" applyBorder="1" applyAlignment="1">
      <alignment vertical="top" wrapText="1"/>
    </xf>
    <xf numFmtId="0" fontId="10" fillId="0" borderId="5" xfId="0" applyFont="1" applyBorder="1" applyAlignment="1">
      <alignment horizontal="center" vertical="top" wrapText="1"/>
    </xf>
    <xf numFmtId="9" fontId="10" fillId="0" borderId="5" xfId="0" applyNumberFormat="1" applyFont="1" applyBorder="1" applyAlignment="1">
      <alignment horizontal="center" vertical="top" wrapText="1"/>
    </xf>
    <xf numFmtId="0" fontId="10" fillId="0" borderId="5" xfId="0" applyFont="1" applyBorder="1" applyAlignment="1">
      <alignment vertical="top" wrapText="1"/>
    </xf>
    <xf numFmtId="9" fontId="10" fillId="0" borderId="5" xfId="0" applyNumberFormat="1" applyFont="1" applyBorder="1" applyAlignment="1">
      <alignment vertical="top" wrapText="1"/>
    </xf>
    <xf numFmtId="0" fontId="11" fillId="0" borderId="5" xfId="0" applyFont="1" applyBorder="1" applyAlignment="1">
      <alignment vertical="top" wrapText="1"/>
    </xf>
    <xf numFmtId="0" fontId="0" fillId="0" borderId="0" xfId="0" applyAlignment="1">
      <alignment horizontal="center"/>
    </xf>
    <xf numFmtId="0" fontId="12" fillId="6" borderId="5" xfId="0" applyFont="1" applyFill="1" applyBorder="1" applyAlignment="1">
      <alignment vertical="top" wrapText="1"/>
    </xf>
    <xf numFmtId="0" fontId="13" fillId="3" borderId="0" xfId="0" applyFont="1" applyFill="1"/>
    <xf numFmtId="0" fontId="0" fillId="7" borderId="0" xfId="0" applyFill="1"/>
    <xf numFmtId="0" fontId="0" fillId="8" borderId="0" xfId="0" applyFill="1"/>
    <xf numFmtId="0" fontId="0" fillId="0" borderId="0" xfId="0" applyAlignment="1">
      <alignment vertical="top"/>
    </xf>
    <xf numFmtId="0" fontId="3" fillId="0" borderId="1" xfId="0" applyFont="1" applyFill="1" applyBorder="1" applyAlignment="1">
      <alignment horizontal="left" vertical="top" wrapText="1"/>
    </xf>
    <xf numFmtId="9" fontId="3" fillId="0" borderId="1" xfId="50" applyNumberFormat="1" applyFont="1" applyFill="1" applyBorder="1" applyAlignment="1">
      <alignment horizontal="left" vertical="top" wrapText="1"/>
    </xf>
    <xf numFmtId="0" fontId="3" fillId="0" borderId="1" xfId="50" applyFont="1" applyFill="1" applyBorder="1" applyAlignment="1">
      <alignment vertical="top" wrapText="1"/>
    </xf>
    <xf numFmtId="0" fontId="14" fillId="0" borderId="1" xfId="0" applyFont="1" applyFill="1" applyBorder="1" applyAlignment="1">
      <alignment vertical="top" wrapText="1"/>
    </xf>
    <xf numFmtId="0" fontId="15" fillId="7" borderId="5" xfId="0" applyFont="1" applyFill="1" applyBorder="1" applyAlignment="1">
      <alignment horizontal="center" vertical="top" wrapText="1"/>
    </xf>
    <xf numFmtId="0" fontId="14" fillId="0" borderId="1" xfId="0" applyFont="1" applyBorder="1" applyAlignment="1">
      <alignment vertical="top" wrapText="1"/>
    </xf>
    <xf numFmtId="0" fontId="14" fillId="0" borderId="1" xfId="0" applyFont="1" applyBorder="1" applyAlignment="1">
      <alignment horizontal="center" vertical="top" wrapText="1"/>
    </xf>
    <xf numFmtId="0" fontId="15" fillId="7" borderId="5" xfId="0" applyFont="1" applyFill="1" applyBorder="1" applyAlignment="1">
      <alignment vertical="top" wrapText="1"/>
    </xf>
    <xf numFmtId="0" fontId="0" fillId="0" borderId="0" xfId="0"/>
    <xf numFmtId="0" fontId="10" fillId="0" borderId="1" xfId="0" applyFont="1" applyBorder="1" applyAlignment="1">
      <alignment vertical="top" wrapText="1"/>
    </xf>
    <xf numFmtId="0" fontId="0" fillId="0" borderId="0" xfId="0" applyAlignment="1">
      <alignment horizontal="center"/>
    </xf>
    <xf numFmtId="0" fontId="16" fillId="0" borderId="1" xfId="0" applyFont="1" applyBorder="1" applyAlignment="1">
      <alignment vertical="top" wrapText="1"/>
    </xf>
    <xf numFmtId="0" fontId="10" fillId="0" borderId="0" xfId="0" applyFont="1" applyBorder="1" applyAlignment="1">
      <alignment horizontal="center" vertical="top" wrapText="1"/>
    </xf>
    <xf numFmtId="0" fontId="10" fillId="0" borderId="0" xfId="0" applyFont="1" applyBorder="1" applyAlignment="1">
      <alignment vertical="top" wrapText="1"/>
    </xf>
    <xf numFmtId="0" fontId="0" fillId="0" borderId="0" xfId="0" applyBorder="1"/>
    <xf numFmtId="0" fontId="10" fillId="0" borderId="1" xfId="0" applyFont="1" applyBorder="1" applyAlignment="1">
      <alignment vertical="top" wrapText="1"/>
    </xf>
    <xf numFmtId="0" fontId="10" fillId="0" borderId="1" xfId="0" applyFont="1" applyBorder="1" applyAlignment="1">
      <alignment horizontal="center" vertical="top" wrapText="1"/>
    </xf>
    <xf numFmtId="9" fontId="3" fillId="0" borderId="0" xfId="50" applyNumberFormat="1" applyFont="1" applyFill="1" applyBorder="1" applyAlignment="1">
      <alignment horizontal="left" vertical="top" wrapText="1"/>
    </xf>
    <xf numFmtId="0" fontId="14" fillId="0" borderId="0" xfId="0" applyFont="1" applyBorder="1" applyAlignment="1">
      <alignment horizontal="center" vertical="top" wrapText="1"/>
    </xf>
    <xf numFmtId="0" fontId="14" fillId="0" borderId="0" xfId="0" applyFont="1" applyBorder="1" applyAlignment="1">
      <alignment vertical="top" wrapText="1"/>
    </xf>
    <xf numFmtId="0" fontId="3" fillId="0" borderId="0" xfId="50" applyFont="1" applyFill="1" applyBorder="1" applyAlignment="1">
      <alignment vertical="top" wrapText="1"/>
    </xf>
    <xf numFmtId="0" fontId="14" fillId="0" borderId="0" xfId="0" applyFont="1" applyFill="1" applyBorder="1" applyAlignment="1">
      <alignment vertical="top" wrapText="1"/>
    </xf>
    <xf numFmtId="0" fontId="3" fillId="8" borderId="1" xfId="0" applyFont="1" applyFill="1" applyBorder="1" applyAlignment="1">
      <alignment horizontal="center" vertical="top" wrapText="1"/>
    </xf>
    <xf numFmtId="0" fontId="17" fillId="0" borderId="0" xfId="0" applyFont="1"/>
    <xf numFmtId="4" fontId="14" fillId="0" borderId="1" xfId="0" applyNumberFormat="1" applyFont="1" applyBorder="1" applyAlignment="1">
      <alignment horizontal="center" vertical="top" wrapText="1"/>
    </xf>
    <xf numFmtId="0" fontId="17" fillId="0" borderId="0" xfId="0" applyFont="1" applyAlignment="1">
      <alignment horizontal="center"/>
    </xf>
    <xf numFmtId="0" fontId="0" fillId="0" borderId="0" xfId="0" applyAlignment="1">
      <alignment horizontal="left"/>
    </xf>
    <xf numFmtId="0" fontId="7" fillId="0" borderId="5" xfId="0" applyFont="1" applyBorder="1" applyAlignment="1">
      <alignment vertical="top" wrapText="1"/>
    </xf>
    <xf numFmtId="0" fontId="7" fillId="0" borderId="5" xfId="0" applyFont="1" applyBorder="1" applyAlignment="1">
      <alignment horizontal="center" vertical="top" wrapText="1"/>
    </xf>
    <xf numFmtId="0" fontId="7" fillId="8" borderId="5" xfId="0" applyFont="1" applyFill="1" applyBorder="1" applyAlignment="1">
      <alignment horizontal="center" vertical="top" wrapText="1"/>
    </xf>
    <xf numFmtId="0" fontId="7" fillId="8" borderId="5" xfId="0" applyFont="1" applyFill="1" applyBorder="1" applyAlignment="1">
      <alignment vertical="top" wrapText="1"/>
    </xf>
    <xf numFmtId="0" fontId="20" fillId="9" borderId="0" xfId="0" applyFont="1" applyFill="1"/>
    <xf numFmtId="9" fontId="7" fillId="0" borderId="5" xfId="0" applyNumberFormat="1" applyFont="1" applyBorder="1" applyAlignment="1">
      <alignment vertical="top" wrapText="1"/>
    </xf>
    <xf numFmtId="0" fontId="20" fillId="0" borderId="0" xfId="0" applyFont="1"/>
    <xf numFmtId="0" fontId="7" fillId="0" borderId="0" xfId="0" applyFont="1" applyBorder="1" applyAlignment="1">
      <alignment horizontal="center" vertical="top" wrapText="1"/>
    </xf>
    <xf numFmtId="0" fontId="7" fillId="0" borderId="0" xfId="0" applyFont="1" applyBorder="1" applyAlignment="1">
      <alignment vertical="top" wrapText="1"/>
    </xf>
    <xf numFmtId="0" fontId="20" fillId="0" borderId="0" xfId="0" applyFont="1" applyBorder="1"/>
    <xf numFmtId="4" fontId="0" fillId="0" borderId="0" xfId="0" applyNumberFormat="1" applyAlignment="1">
      <alignment horizontal="center"/>
    </xf>
    <xf numFmtId="0" fontId="20" fillId="8" borderId="0" xfId="0" applyFont="1" applyFill="1"/>
    <xf numFmtId="0" fontId="3" fillId="0" borderId="1" xfId="0" applyFont="1" applyBorder="1" applyAlignment="1">
      <alignment horizontal="center" vertical="top" wrapText="1"/>
    </xf>
    <xf numFmtId="0" fontId="3" fillId="0" borderId="1" xfId="0" applyFont="1" applyBorder="1" applyAlignment="1">
      <alignment vertical="top" wrapText="1"/>
    </xf>
    <xf numFmtId="0" fontId="11" fillId="0" borderId="1" xfId="0" applyFont="1" applyBorder="1" applyAlignment="1">
      <alignment horizontal="center" vertical="top" wrapText="1"/>
    </xf>
    <xf numFmtId="0" fontId="11" fillId="5" borderId="5" xfId="0" applyFont="1" applyFill="1" applyBorder="1" applyAlignment="1">
      <alignment vertical="top" wrapText="1"/>
    </xf>
    <xf numFmtId="9" fontId="11" fillId="0" borderId="5" xfId="0" applyNumberFormat="1" applyFont="1" applyBorder="1" applyAlignment="1">
      <alignment horizontal="center" vertical="top" wrapText="1"/>
    </xf>
    <xf numFmtId="0" fontId="11" fillId="0" borderId="5" xfId="0" applyFont="1" applyBorder="1" applyAlignment="1">
      <alignment horizontal="center" vertical="top" wrapText="1"/>
    </xf>
    <xf numFmtId="4" fontId="10" fillId="0" borderId="5" xfId="0" applyNumberFormat="1" applyFont="1" applyBorder="1" applyAlignment="1">
      <alignment vertical="top" wrapText="1"/>
    </xf>
    <xf numFmtId="4" fontId="11" fillId="0" borderId="5" xfId="0" applyNumberFormat="1" applyFont="1" applyBorder="1" applyAlignment="1">
      <alignment horizontal="center" vertical="top" wrapText="1"/>
    </xf>
    <xf numFmtId="4" fontId="10" fillId="0" borderId="5" xfId="0" applyNumberFormat="1" applyFont="1" applyBorder="1" applyAlignment="1">
      <alignment horizontal="center" vertical="top" wrapText="1"/>
    </xf>
    <xf numFmtId="4" fontId="0" fillId="0" borderId="0" xfId="0" applyNumberFormat="1"/>
    <xf numFmtId="4" fontId="14" fillId="0" borderId="0" xfId="0" applyNumberFormat="1" applyFont="1" applyBorder="1" applyAlignment="1">
      <alignment horizontal="center" vertical="top" wrapText="1"/>
    </xf>
    <xf numFmtId="0" fontId="3" fillId="0" borderId="1" xfId="0" applyFont="1" applyFill="1" applyBorder="1" applyAlignment="1">
      <alignment vertical="top" wrapText="1"/>
    </xf>
    <xf numFmtId="0" fontId="7" fillId="0" borderId="1" xfId="0" applyFont="1" applyBorder="1" applyAlignment="1">
      <alignment vertical="top" wrapText="1"/>
    </xf>
    <xf numFmtId="0" fontId="16" fillId="0" borderId="1" xfId="0" applyFont="1" applyBorder="1" applyAlignment="1">
      <alignment horizontal="center" vertical="top" wrapText="1"/>
    </xf>
    <xf numFmtId="0" fontId="16" fillId="0" borderId="1" xfId="50" applyFont="1" applyFill="1" applyBorder="1" applyAlignment="1">
      <alignment vertical="top" wrapText="1"/>
    </xf>
    <xf numFmtId="9" fontId="16" fillId="0" borderId="1" xfId="50" applyNumberFormat="1" applyFont="1" applyFill="1" applyBorder="1" applyAlignment="1">
      <alignment horizontal="left" vertical="top" wrapText="1"/>
    </xf>
    <xf numFmtId="0" fontId="16" fillId="0" borderId="1" xfId="0" applyFont="1" applyFill="1" applyBorder="1" applyAlignment="1">
      <alignment vertical="top" wrapText="1"/>
    </xf>
    <xf numFmtId="0" fontId="16" fillId="0" borderId="1" xfId="0" applyFont="1" applyFill="1" applyBorder="1" applyAlignment="1">
      <alignment horizontal="left" vertical="top" wrapText="1"/>
    </xf>
    <xf numFmtId="0" fontId="11" fillId="0" borderId="1" xfId="0" applyFont="1" applyBorder="1" applyAlignment="1">
      <alignment vertical="top" wrapText="1"/>
    </xf>
    <xf numFmtId="4" fontId="15" fillId="7" borderId="5" xfId="0" applyNumberFormat="1" applyFont="1" applyFill="1" applyBorder="1" applyAlignment="1">
      <alignment horizontal="center" vertical="top" wrapText="1"/>
    </xf>
    <xf numFmtId="0" fontId="3" fillId="8" borderId="1" xfId="0" applyFont="1" applyFill="1" applyBorder="1" applyAlignment="1">
      <alignment vertical="top" wrapText="1"/>
    </xf>
    <xf numFmtId="0" fontId="7" fillId="0" borderId="5" xfId="0" applyFont="1" applyBorder="1" applyAlignment="1">
      <alignment horizontal="left" vertical="top" wrapText="1"/>
    </xf>
    <xf numFmtId="9" fontId="7" fillId="0" borderId="5" xfId="0" applyNumberFormat="1" applyFont="1" applyBorder="1" applyAlignment="1">
      <alignment horizontal="center" vertical="top" wrapText="1"/>
    </xf>
    <xf numFmtId="0" fontId="22" fillId="0" borderId="0" xfId="0" applyFont="1"/>
    <xf numFmtId="0" fontId="12" fillId="7" borderId="5" xfId="0" applyFont="1" applyFill="1" applyBorder="1" applyAlignment="1">
      <alignment horizontal="center" vertical="top" wrapText="1"/>
    </xf>
    <xf numFmtId="0" fontId="12" fillId="7" borderId="5" xfId="0" applyFont="1" applyFill="1" applyBorder="1" applyAlignment="1">
      <alignment vertical="top" wrapText="1"/>
    </xf>
    <xf numFmtId="4" fontId="12" fillId="7" borderId="5" xfId="0" applyNumberFormat="1" applyFont="1" applyFill="1" applyBorder="1" applyAlignment="1">
      <alignment horizontal="center" vertical="top" wrapText="1"/>
    </xf>
    <xf numFmtId="0" fontId="23" fillId="0" borderId="0" xfId="0" applyFont="1"/>
    <xf numFmtId="0" fontId="21" fillId="0" borderId="5" xfId="0" applyFont="1" applyBorder="1" applyAlignment="1">
      <alignment vertical="top"/>
    </xf>
    <xf numFmtId="4" fontId="12" fillId="7" borderId="5" xfId="0" applyNumberFormat="1" applyFont="1" applyFill="1" applyBorder="1" applyAlignment="1">
      <alignment vertical="top" wrapText="1"/>
    </xf>
    <xf numFmtId="0" fontId="14" fillId="8" borderId="15" xfId="0" applyFont="1" applyFill="1" applyBorder="1" applyAlignment="1">
      <alignment vertical="top" wrapText="1"/>
    </xf>
    <xf numFmtId="4" fontId="20" fillId="0" borderId="0" xfId="0" applyNumberFormat="1" applyFont="1" applyFill="1" applyAlignment="1">
      <alignment horizontal="center" vertical="center"/>
    </xf>
    <xf numFmtId="4" fontId="0" fillId="0" borderId="0" xfId="0" applyNumberFormat="1" applyAlignment="1">
      <alignment horizontal="center" vertical="center"/>
    </xf>
    <xf numFmtId="3" fontId="16" fillId="8" borderId="15" xfId="0" applyNumberFormat="1" applyFont="1" applyFill="1" applyBorder="1" applyAlignment="1">
      <alignment horizontal="center" vertical="top" wrapText="1"/>
    </xf>
    <xf numFmtId="3" fontId="0" fillId="0" borderId="0" xfId="0" applyNumberFormat="1" applyAlignment="1">
      <alignment horizontal="center"/>
    </xf>
    <xf numFmtId="0" fontId="7" fillId="8" borderId="5" xfId="0" applyFont="1" applyFill="1" applyBorder="1" applyAlignment="1">
      <alignment horizontal="left" vertical="top" wrapText="1"/>
    </xf>
    <xf numFmtId="9" fontId="7" fillId="8" borderId="5" xfId="0" applyNumberFormat="1" applyFont="1" applyFill="1" applyBorder="1" applyAlignment="1">
      <alignment horizontal="center" vertical="top" wrapText="1"/>
    </xf>
    <xf numFmtId="0" fontId="10" fillId="8" borderId="5" xfId="0" applyFont="1" applyFill="1" applyBorder="1" applyAlignment="1">
      <alignment vertical="top" wrapText="1"/>
    </xf>
    <xf numFmtId="0" fontId="10" fillId="8" borderId="15" xfId="0" applyFont="1" applyFill="1" applyBorder="1" applyAlignment="1">
      <alignment vertical="top" wrapText="1"/>
    </xf>
    <xf numFmtId="0" fontId="20" fillId="8" borderId="0" xfId="0" applyFont="1" applyFill="1" applyBorder="1"/>
    <xf numFmtId="0" fontId="0" fillId="11" borderId="0" xfId="0" applyFill="1"/>
    <xf numFmtId="0" fontId="17" fillId="11" borderId="0" xfId="0" applyFont="1" applyFill="1"/>
    <xf numFmtId="0" fontId="0" fillId="12" borderId="0" xfId="0" applyFill="1"/>
    <xf numFmtId="0" fontId="20" fillId="11" borderId="0" xfId="0" applyFont="1" applyFill="1"/>
    <xf numFmtId="0" fontId="14" fillId="8" borderId="15" xfId="0" applyFont="1" applyFill="1" applyBorder="1" applyAlignment="1">
      <alignment horizontal="center" vertical="top" wrapText="1"/>
    </xf>
    <xf numFmtId="0" fontId="16" fillId="8" borderId="15" xfId="0" applyFont="1" applyFill="1" applyBorder="1" applyAlignment="1">
      <alignment vertical="top" wrapText="1"/>
    </xf>
    <xf numFmtId="4" fontId="14" fillId="8" borderId="15" xfId="0" applyNumberFormat="1" applyFont="1" applyFill="1" applyBorder="1" applyAlignment="1">
      <alignment horizontal="center" vertical="top" wrapText="1"/>
    </xf>
    <xf numFmtId="0" fontId="14" fillId="8" borderId="19" xfId="0" applyFont="1" applyFill="1" applyBorder="1" applyAlignment="1">
      <alignment vertical="top" wrapText="1"/>
    </xf>
    <xf numFmtId="0" fontId="3" fillId="8" borderId="15" xfId="0" applyFont="1" applyFill="1" applyBorder="1" applyAlignment="1">
      <alignment vertical="top" wrapText="1"/>
    </xf>
    <xf numFmtId="3" fontId="3" fillId="8" borderId="15" xfId="0" applyNumberFormat="1" applyFont="1" applyFill="1" applyBorder="1" applyAlignment="1">
      <alignment vertical="top" wrapText="1"/>
    </xf>
    <xf numFmtId="0" fontId="14" fillId="8" borderId="18" xfId="0" applyFont="1" applyFill="1" applyBorder="1" applyAlignment="1">
      <alignment horizontal="center" vertical="top" wrapText="1"/>
    </xf>
    <xf numFmtId="0" fontId="14" fillId="8" borderId="1" xfId="0" applyFont="1" applyFill="1" applyBorder="1" applyAlignment="1">
      <alignment vertical="top" wrapText="1"/>
    </xf>
    <xf numFmtId="0" fontId="3" fillId="8" borderId="1" xfId="0" applyFont="1" applyFill="1" applyBorder="1" applyAlignment="1">
      <alignment horizontal="left" vertical="top" wrapText="1"/>
    </xf>
    <xf numFmtId="0" fontId="14" fillId="8" borderId="1" xfId="0" applyFont="1" applyFill="1" applyBorder="1" applyAlignment="1">
      <alignment horizontal="center" vertical="top" wrapText="1"/>
    </xf>
    <xf numFmtId="0" fontId="3" fillId="8" borderId="15" xfId="50" applyFont="1" applyFill="1" applyBorder="1" applyAlignment="1">
      <alignment vertical="top" wrapText="1"/>
    </xf>
    <xf numFmtId="9" fontId="3" fillId="8" borderId="15" xfId="50" applyNumberFormat="1" applyFont="1" applyFill="1" applyBorder="1" applyAlignment="1">
      <alignment horizontal="left" vertical="top" wrapText="1"/>
    </xf>
    <xf numFmtId="0" fontId="3" fillId="8" borderId="15" xfId="0" applyFont="1" applyFill="1" applyBorder="1" applyAlignment="1">
      <alignment horizontal="left" vertical="top" wrapText="1"/>
    </xf>
    <xf numFmtId="0" fontId="17" fillId="8" borderId="0" xfId="0" applyFont="1" applyFill="1" applyAlignment="1">
      <alignment horizontal="center"/>
    </xf>
    <xf numFmtId="0" fontId="17" fillId="8" borderId="0" xfId="0" applyFont="1" applyFill="1"/>
    <xf numFmtId="3" fontId="14" fillId="8" borderId="1" xfId="0" applyNumberFormat="1" applyFont="1" applyFill="1" applyBorder="1" applyAlignment="1">
      <alignment horizontal="center" vertical="top" wrapText="1"/>
    </xf>
    <xf numFmtId="0" fontId="14" fillId="8" borderId="20" xfId="0" applyFont="1" applyFill="1" applyBorder="1" applyAlignment="1">
      <alignment vertical="top" wrapText="1"/>
    </xf>
    <xf numFmtId="0" fontId="14" fillId="8" borderId="7" xfId="0" applyFont="1" applyFill="1" applyBorder="1" applyAlignment="1">
      <alignment vertical="top" wrapText="1"/>
    </xf>
    <xf numFmtId="0" fontId="17" fillId="8" borderId="21" xfId="0" applyFont="1" applyFill="1" applyBorder="1" applyAlignment="1">
      <alignment horizontal="justify" vertical="top" wrapText="1"/>
    </xf>
    <xf numFmtId="3" fontId="14" fillId="8" borderId="1" xfId="0" applyNumberFormat="1" applyFont="1" applyFill="1" applyBorder="1" applyAlignment="1">
      <alignment horizontal="center" vertical="center" wrapText="1"/>
    </xf>
    <xf numFmtId="0" fontId="17" fillId="8" borderId="16" xfId="0" applyFont="1" applyFill="1" applyBorder="1" applyAlignment="1">
      <alignment horizontal="justify" vertical="top" wrapText="1"/>
    </xf>
    <xf numFmtId="6" fontId="14" fillId="8" borderId="1" xfId="0" applyNumberFormat="1" applyFont="1" applyFill="1" applyBorder="1" applyAlignment="1">
      <alignment horizontal="center" vertical="top" wrapText="1"/>
    </xf>
    <xf numFmtId="0" fontId="16" fillId="8" borderId="2" xfId="0" applyFont="1" applyFill="1" applyBorder="1" applyAlignment="1">
      <alignment vertical="top" wrapText="1"/>
    </xf>
    <xf numFmtId="0" fontId="3" fillId="8" borderId="22" xfId="0" applyFont="1" applyFill="1" applyBorder="1" applyAlignment="1">
      <alignment vertical="top" wrapText="1"/>
    </xf>
    <xf numFmtId="0" fontId="14" fillId="8" borderId="22" xfId="0" applyFont="1" applyFill="1" applyBorder="1" applyAlignment="1">
      <alignment vertical="top" wrapText="1"/>
    </xf>
    <xf numFmtId="0" fontId="3" fillId="8" borderId="22" xfId="0" applyFont="1" applyFill="1" applyBorder="1" applyAlignment="1">
      <alignment horizontal="left" vertical="top" wrapText="1"/>
    </xf>
    <xf numFmtId="0" fontId="0" fillId="8" borderId="22" xfId="0" applyFill="1" applyBorder="1"/>
    <xf numFmtId="3" fontId="3" fillId="8" borderId="22" xfId="0" applyNumberFormat="1" applyFont="1" applyFill="1" applyBorder="1" applyAlignment="1">
      <alignment vertical="top" wrapText="1"/>
    </xf>
    <xf numFmtId="0" fontId="16" fillId="8" borderId="22" xfId="0" applyFont="1" applyFill="1" applyBorder="1" applyAlignment="1">
      <alignment vertical="top" wrapText="1"/>
    </xf>
    <xf numFmtId="0" fontId="14" fillId="8" borderId="22" xfId="0" applyFont="1" applyFill="1" applyBorder="1" applyAlignment="1">
      <alignment horizontal="center" vertical="top" wrapText="1"/>
    </xf>
    <xf numFmtId="14" fontId="14" fillId="8" borderId="1" xfId="0" applyNumberFormat="1" applyFont="1" applyFill="1" applyBorder="1" applyAlignment="1">
      <alignment vertical="top" wrapText="1"/>
    </xf>
    <xf numFmtId="4" fontId="14" fillId="8" borderId="22" xfId="0" applyNumberFormat="1" applyFont="1" applyFill="1" applyBorder="1" applyAlignment="1">
      <alignment vertical="top" wrapText="1"/>
    </xf>
    <xf numFmtId="3" fontId="16" fillId="8" borderId="22" xfId="0" applyNumberFormat="1" applyFont="1" applyFill="1" applyBorder="1" applyAlignment="1">
      <alignment horizontal="center" vertical="top" wrapText="1"/>
    </xf>
    <xf numFmtId="0" fontId="27" fillId="0" borderId="5" xfId="0" applyFont="1" applyBorder="1" applyAlignment="1">
      <alignment vertical="top" wrapText="1"/>
    </xf>
    <xf numFmtId="0" fontId="27" fillId="0" borderId="17" xfId="0" applyFont="1" applyBorder="1" applyAlignment="1">
      <alignment vertical="top" wrapText="1"/>
    </xf>
    <xf numFmtId="9" fontId="10" fillId="0" borderId="5" xfId="0" applyNumberFormat="1" applyFont="1" applyBorder="1" applyAlignment="1">
      <alignment horizontal="left" vertical="top" wrapText="1"/>
    </xf>
    <xf numFmtId="0" fontId="10" fillId="0" borderId="5" xfId="0" applyFont="1" applyBorder="1" applyAlignment="1">
      <alignment horizontal="left" vertical="top" wrapText="1"/>
    </xf>
    <xf numFmtId="1" fontId="7" fillId="0" borderId="5" xfId="0" applyNumberFormat="1" applyFont="1" applyBorder="1" applyAlignment="1">
      <alignment horizontal="center" vertical="top" wrapText="1"/>
    </xf>
    <xf numFmtId="1" fontId="7" fillId="0" borderId="5" xfId="0" applyNumberFormat="1" applyFont="1" applyBorder="1" applyAlignment="1">
      <alignment vertical="top" wrapText="1"/>
    </xf>
    <xf numFmtId="9" fontId="7" fillId="0" borderId="5" xfId="0" applyNumberFormat="1" applyFont="1" applyBorder="1" applyAlignment="1">
      <alignment horizontal="left" vertical="top" wrapText="1"/>
    </xf>
    <xf numFmtId="0" fontId="27" fillId="0" borderId="5" xfId="0" applyFont="1" applyBorder="1" applyAlignment="1">
      <alignment horizontal="center" vertical="top" wrapText="1"/>
    </xf>
    <xf numFmtId="0" fontId="29" fillId="0" borderId="5" xfId="0" applyFont="1" applyBorder="1" applyAlignment="1">
      <alignment vertical="top" wrapText="1"/>
    </xf>
    <xf numFmtId="4" fontId="27" fillId="0" borderId="5" xfId="0" applyNumberFormat="1" applyFont="1" applyBorder="1" applyAlignment="1">
      <alignment horizontal="center" vertical="top" wrapText="1"/>
    </xf>
    <xf numFmtId="9" fontId="27" fillId="0" borderId="5" xfId="0" applyNumberFormat="1" applyFont="1" applyBorder="1" applyAlignment="1">
      <alignment horizontal="center" vertical="top" wrapText="1"/>
    </xf>
    <xf numFmtId="1" fontId="27" fillId="0" borderId="5" xfId="0" applyNumberFormat="1" applyFont="1" applyBorder="1" applyAlignment="1">
      <alignment horizontal="center" vertical="top" wrapText="1"/>
    </xf>
    <xf numFmtId="9" fontId="27" fillId="0" borderId="5" xfId="0" applyNumberFormat="1" applyFont="1" applyBorder="1" applyAlignment="1">
      <alignment vertical="top" wrapText="1"/>
    </xf>
    <xf numFmtId="0" fontId="27" fillId="0" borderId="17" xfId="0" applyFont="1" applyBorder="1" applyAlignment="1">
      <alignment horizontal="center" vertical="top" wrapText="1"/>
    </xf>
    <xf numFmtId="0" fontId="28" fillId="0" borderId="17" xfId="0" applyFont="1" applyBorder="1" applyAlignment="1">
      <alignment vertical="top" wrapText="1"/>
    </xf>
    <xf numFmtId="4" fontId="27" fillId="0" borderId="17" xfId="0" applyNumberFormat="1" applyFont="1" applyBorder="1" applyAlignment="1">
      <alignment horizontal="center" vertical="top" wrapText="1"/>
    </xf>
    <xf numFmtId="0" fontId="0" fillId="8" borderId="23" xfId="0" applyFill="1" applyBorder="1" applyAlignment="1">
      <alignment vertical="top"/>
    </xf>
    <xf numFmtId="0" fontId="0" fillId="0" borderId="0" xfId="0" applyFill="1"/>
    <xf numFmtId="0" fontId="14" fillId="0" borderId="22" xfId="0" applyFont="1" applyFill="1" applyBorder="1" applyAlignment="1">
      <alignment horizontal="center" vertical="top" wrapText="1"/>
    </xf>
    <xf numFmtId="0" fontId="14" fillId="0" borderId="22" xfId="0" applyFont="1" applyFill="1" applyBorder="1" applyAlignment="1">
      <alignment vertical="top" wrapText="1"/>
    </xf>
    <xf numFmtId="0" fontId="3" fillId="0" borderId="22" xfId="0" applyFont="1" applyFill="1" applyBorder="1" applyAlignment="1">
      <alignment vertical="top" wrapText="1"/>
    </xf>
    <xf numFmtId="3" fontId="3" fillId="0" borderId="22" xfId="0" applyNumberFormat="1" applyFont="1" applyFill="1" applyBorder="1" applyAlignment="1">
      <alignment vertical="top" wrapText="1"/>
    </xf>
    <xf numFmtId="0" fontId="10" fillId="8" borderId="5" xfId="0" applyFont="1" applyFill="1" applyBorder="1" applyAlignment="1">
      <alignment horizontal="center" vertical="top" wrapText="1"/>
    </xf>
    <xf numFmtId="0" fontId="10" fillId="8" borderId="5" xfId="0" applyNumberFormat="1" applyFont="1" applyFill="1" applyBorder="1" applyAlignment="1">
      <alignment horizontal="center" vertical="top" wrapText="1"/>
    </xf>
    <xf numFmtId="3" fontId="3" fillId="8" borderId="15" xfId="0" applyNumberFormat="1" applyFont="1" applyFill="1" applyBorder="1" applyAlignment="1">
      <alignment horizontal="center" vertical="top" wrapText="1"/>
    </xf>
    <xf numFmtId="0" fontId="3" fillId="8" borderId="23" xfId="0" applyFont="1" applyFill="1" applyBorder="1" applyAlignment="1">
      <alignment horizontal="center" vertical="top" wrapText="1"/>
    </xf>
    <xf numFmtId="0" fontId="3" fillId="8" borderId="23" xfId="0" applyFont="1" applyFill="1" applyBorder="1" applyAlignment="1">
      <alignment vertical="top" wrapText="1"/>
    </xf>
    <xf numFmtId="0" fontId="3" fillId="8" borderId="23" xfId="0" applyFont="1" applyFill="1" applyBorder="1" applyAlignment="1">
      <alignment horizontal="left" vertical="top" wrapText="1"/>
    </xf>
    <xf numFmtId="0" fontId="14" fillId="8" borderId="23" xfId="0" applyFont="1" applyFill="1" applyBorder="1" applyAlignment="1">
      <alignment vertical="top" wrapText="1"/>
    </xf>
    <xf numFmtId="3" fontId="3" fillId="8" borderId="23" xfId="0" applyNumberFormat="1" applyFont="1" applyFill="1" applyBorder="1" applyAlignment="1">
      <alignment horizontal="center" vertical="top" wrapText="1"/>
    </xf>
    <xf numFmtId="3" fontId="14" fillId="8" borderId="23" xfId="0" applyNumberFormat="1" applyFont="1" applyFill="1" applyBorder="1" applyAlignment="1">
      <alignment horizontal="center" vertical="top" wrapText="1"/>
    </xf>
    <xf numFmtId="6" fontId="3" fillId="8" borderId="23" xfId="0" applyNumberFormat="1" applyFont="1" applyFill="1" applyBorder="1" applyAlignment="1">
      <alignment horizontal="center" vertical="top" wrapText="1"/>
    </xf>
    <xf numFmtId="9" fontId="3" fillId="8" borderId="23" xfId="0" applyNumberFormat="1" applyFont="1" applyFill="1" applyBorder="1" applyAlignment="1">
      <alignment horizontal="left" vertical="top" wrapText="1"/>
    </xf>
    <xf numFmtId="0" fontId="14" fillId="8" borderId="23" xfId="0" applyFont="1" applyFill="1" applyBorder="1" applyAlignment="1">
      <alignment horizontal="center" vertical="top" wrapText="1"/>
    </xf>
    <xf numFmtId="0" fontId="16" fillId="0" borderId="23" xfId="0" applyFont="1" applyBorder="1" applyAlignment="1">
      <alignment horizontal="center" vertical="top" wrapText="1"/>
    </xf>
    <xf numFmtId="0" fontId="16" fillId="0" borderId="23" xfId="0" applyFont="1" applyBorder="1" applyAlignment="1">
      <alignment vertical="top" wrapText="1"/>
    </xf>
    <xf numFmtId="0" fontId="16" fillId="8" borderId="23" xfId="0" applyFont="1" applyFill="1" applyBorder="1" applyAlignment="1">
      <alignment horizontal="left" vertical="top" wrapText="1"/>
    </xf>
    <xf numFmtId="0" fontId="16" fillId="8" borderId="23" xfId="0" applyFont="1" applyFill="1" applyBorder="1" applyAlignment="1">
      <alignment horizontal="center" vertical="top" wrapText="1"/>
    </xf>
    <xf numFmtId="4" fontId="3" fillId="0" borderId="23" xfId="0" applyNumberFormat="1" applyFont="1" applyFill="1" applyBorder="1" applyAlignment="1">
      <alignment horizontal="center" vertical="top" wrapText="1"/>
    </xf>
    <xf numFmtId="0" fontId="3" fillId="8" borderId="23" xfId="50" applyFont="1" applyFill="1" applyBorder="1" applyAlignment="1">
      <alignment horizontal="center" vertical="top" wrapText="1"/>
    </xf>
    <xf numFmtId="9" fontId="3" fillId="8" borderId="23" xfId="50" applyNumberFormat="1" applyFont="1" applyFill="1" applyBorder="1" applyAlignment="1">
      <alignment horizontal="left" vertical="top" wrapText="1"/>
    </xf>
    <xf numFmtId="4" fontId="14" fillId="8" borderId="23" xfId="0" applyNumberFormat="1" applyFont="1" applyFill="1" applyBorder="1" applyAlignment="1">
      <alignment horizontal="center" vertical="top" wrapText="1"/>
    </xf>
    <xf numFmtId="0" fontId="28" fillId="8" borderId="23" xfId="0" applyFont="1" applyFill="1" applyBorder="1" applyAlignment="1">
      <alignment horizontal="left" vertical="top" wrapText="1"/>
    </xf>
    <xf numFmtId="3" fontId="3" fillId="8" borderId="23" xfId="0" applyNumberFormat="1" applyFont="1" applyFill="1" applyBorder="1" applyAlignment="1">
      <alignment vertical="top" wrapText="1"/>
    </xf>
    <xf numFmtId="0" fontId="16" fillId="8" borderId="23" xfId="0" applyFont="1" applyFill="1" applyBorder="1" applyAlignment="1">
      <alignment vertical="top" wrapText="1"/>
    </xf>
    <xf numFmtId="3" fontId="16" fillId="8" borderId="23" xfId="0" applyNumberFormat="1" applyFont="1" applyFill="1" applyBorder="1" applyAlignment="1">
      <alignment horizontal="center" vertical="top" wrapText="1"/>
    </xf>
    <xf numFmtId="0" fontId="6" fillId="6" borderId="20" xfId="0" applyFont="1" applyFill="1" applyBorder="1" applyAlignment="1">
      <alignment horizontal="left" vertical="top" wrapText="1"/>
    </xf>
    <xf numFmtId="0" fontId="14" fillId="0" borderId="23" xfId="0" applyFont="1" applyBorder="1" applyAlignment="1">
      <alignment vertical="top" wrapText="1"/>
    </xf>
    <xf numFmtId="0" fontId="16" fillId="0" borderId="23" xfId="0" applyFont="1" applyFill="1" applyBorder="1" applyAlignment="1">
      <alignment horizontal="left" vertical="top" wrapText="1"/>
    </xf>
    <xf numFmtId="0" fontId="3" fillId="0" borderId="23" xfId="0" applyFont="1" applyFill="1" applyBorder="1" applyAlignment="1">
      <alignment horizontal="left" vertical="top" wrapText="1"/>
    </xf>
    <xf numFmtId="9" fontId="14" fillId="8" borderId="23" xfId="0" applyNumberFormat="1" applyFont="1" applyFill="1" applyBorder="1" applyAlignment="1">
      <alignment vertical="top" wrapText="1"/>
    </xf>
    <xf numFmtId="0" fontId="6" fillId="7" borderId="20" xfId="0" applyFont="1" applyFill="1" applyBorder="1" applyAlignment="1">
      <alignment horizontal="center" vertical="top" wrapText="1"/>
    </xf>
    <xf numFmtId="0" fontId="6" fillId="7" borderId="24" xfId="0" applyFont="1" applyFill="1" applyBorder="1" applyAlignment="1">
      <alignment horizontal="center" vertical="top" wrapText="1"/>
    </xf>
    <xf numFmtId="0" fontId="6" fillId="6" borderId="25" xfId="0" applyFont="1" applyFill="1" applyBorder="1" applyAlignment="1">
      <alignment horizontal="left" vertical="top" wrapText="1"/>
    </xf>
    <xf numFmtId="0" fontId="6" fillId="7" borderId="20" xfId="0" applyFont="1" applyFill="1" applyBorder="1" applyAlignment="1">
      <alignment horizontal="center" vertical="top"/>
    </xf>
    <xf numFmtId="0" fontId="6" fillId="7" borderId="24" xfId="0" applyFont="1" applyFill="1" applyBorder="1" applyAlignment="1">
      <alignment horizontal="center" vertical="top"/>
    </xf>
    <xf numFmtId="8" fontId="14" fillId="8" borderId="23" xfId="0" applyNumberFormat="1" applyFont="1" applyFill="1" applyBorder="1" applyAlignment="1">
      <alignment vertical="top" wrapText="1"/>
    </xf>
    <xf numFmtId="9" fontId="27" fillId="0" borderId="5" xfId="0" applyNumberFormat="1" applyFont="1" applyBorder="1" applyAlignment="1">
      <alignment horizontal="left" vertical="top" wrapText="1"/>
    </xf>
    <xf numFmtId="0" fontId="27" fillId="0" borderId="5" xfId="0" applyFont="1" applyBorder="1" applyAlignment="1">
      <alignment horizontal="left" vertical="top" wrapText="1"/>
    </xf>
    <xf numFmtId="0" fontId="15" fillId="7" borderId="5" xfId="0" applyFont="1" applyFill="1" applyBorder="1" applyAlignment="1">
      <alignment horizontal="left" vertical="top" wrapText="1"/>
    </xf>
    <xf numFmtId="1" fontId="27" fillId="0" borderId="5" xfId="0" applyNumberFormat="1" applyFont="1" applyBorder="1" applyAlignment="1">
      <alignment horizontal="left" vertical="top" wrapText="1"/>
    </xf>
    <xf numFmtId="0" fontId="27" fillId="0" borderId="17" xfId="0" applyFont="1" applyBorder="1" applyAlignment="1">
      <alignment horizontal="left" vertical="top" wrapText="1"/>
    </xf>
    <xf numFmtId="0" fontId="14" fillId="8" borderId="1" xfId="0" applyFont="1" applyFill="1" applyBorder="1" applyAlignment="1">
      <alignment horizontal="left" vertical="top" wrapText="1"/>
    </xf>
    <xf numFmtId="9" fontId="14" fillId="8" borderId="1" xfId="0" applyNumberFormat="1" applyFont="1" applyFill="1" applyBorder="1" applyAlignment="1">
      <alignment horizontal="left" vertical="top" wrapText="1"/>
    </xf>
    <xf numFmtId="0" fontId="14" fillId="8" borderId="22" xfId="0" applyFont="1" applyFill="1" applyBorder="1" applyAlignment="1">
      <alignment horizontal="left" vertical="top" wrapText="1"/>
    </xf>
    <xf numFmtId="0" fontId="14" fillId="8" borderId="15" xfId="0" applyFont="1" applyFill="1" applyBorder="1" applyAlignment="1">
      <alignment horizontal="left" vertical="top" wrapText="1"/>
    </xf>
    <xf numFmtId="0" fontId="16" fillId="8" borderId="2" xfId="0" applyFont="1" applyFill="1" applyBorder="1" applyAlignment="1">
      <alignment horizontal="left" vertical="top" wrapText="1"/>
    </xf>
    <xf numFmtId="0" fontId="6" fillId="7" borderId="23" xfId="0" applyFont="1" applyFill="1" applyBorder="1" applyAlignment="1">
      <alignment horizontal="center" vertical="top" wrapText="1"/>
    </xf>
    <xf numFmtId="0" fontId="6" fillId="7" borderId="23" xfId="0" applyFont="1" applyFill="1" applyBorder="1" applyAlignment="1">
      <alignment horizontal="left" vertical="top" wrapText="1"/>
    </xf>
    <xf numFmtId="9" fontId="10" fillId="8" borderId="5" xfId="0" applyNumberFormat="1" applyFont="1" applyFill="1" applyBorder="1" applyAlignment="1">
      <alignment horizontal="center" vertical="top" wrapText="1"/>
    </xf>
    <xf numFmtId="0" fontId="30" fillId="8" borderId="5" xfId="0" applyFont="1" applyFill="1" applyBorder="1" applyAlignment="1">
      <alignment horizontal="left" vertical="top" wrapText="1" indent="1"/>
    </xf>
    <xf numFmtId="8" fontId="14" fillId="8" borderId="23" xfId="0" applyNumberFormat="1" applyFont="1" applyFill="1" applyBorder="1" applyAlignment="1">
      <alignment horizontal="center" vertical="top" wrapText="1"/>
    </xf>
    <xf numFmtId="9" fontId="27" fillId="8" borderId="5" xfId="0" applyNumberFormat="1" applyFont="1" applyFill="1" applyBorder="1" applyAlignment="1">
      <alignment horizontal="left" vertical="top" wrapText="1"/>
    </xf>
    <xf numFmtId="8" fontId="10" fillId="0" borderId="5" xfId="0" applyNumberFormat="1" applyFont="1" applyBorder="1" applyAlignment="1">
      <alignment horizontal="center" vertical="top" wrapText="1"/>
    </xf>
    <xf numFmtId="8" fontId="3" fillId="8" borderId="23" xfId="0" applyNumberFormat="1" applyFont="1" applyFill="1" applyBorder="1" applyAlignment="1">
      <alignment horizontal="left" vertical="top" wrapText="1"/>
    </xf>
    <xf numFmtId="0" fontId="30" fillId="0" borderId="5" xfId="0" applyFont="1" applyFill="1" applyBorder="1" applyAlignment="1">
      <alignment vertical="top" wrapText="1"/>
    </xf>
    <xf numFmtId="9" fontId="10" fillId="0" borderId="5" xfId="0" applyNumberFormat="1" applyFont="1" applyFill="1" applyBorder="1" applyAlignment="1">
      <alignment horizontal="left" vertical="top" wrapText="1"/>
    </xf>
    <xf numFmtId="0" fontId="7" fillId="0" borderId="5" xfId="0" applyFont="1" applyFill="1" applyBorder="1" applyAlignment="1">
      <alignment horizontal="left" vertical="top" wrapText="1"/>
    </xf>
    <xf numFmtId="1" fontId="7" fillId="0" borderId="5" xfId="0" applyNumberFormat="1" applyFont="1" applyBorder="1" applyAlignment="1">
      <alignment horizontal="left" vertical="top" wrapText="1"/>
    </xf>
    <xf numFmtId="1" fontId="7" fillId="8" borderId="5" xfId="0" applyNumberFormat="1" applyFont="1" applyFill="1" applyBorder="1" applyAlignment="1">
      <alignment horizontal="left" vertical="top" wrapText="1"/>
    </xf>
    <xf numFmtId="9" fontId="7" fillId="8" borderId="5" xfId="0" applyNumberFormat="1" applyFont="1" applyFill="1" applyBorder="1" applyAlignment="1">
      <alignment horizontal="left" vertical="top" wrapText="1"/>
    </xf>
    <xf numFmtId="9" fontId="7" fillId="0" borderId="5" xfId="0" applyNumberFormat="1" applyFont="1" applyFill="1" applyBorder="1" applyAlignment="1">
      <alignment horizontal="left" vertical="top" wrapText="1"/>
    </xf>
    <xf numFmtId="6" fontId="10" fillId="8" borderId="5" xfId="0" applyNumberFormat="1" applyFont="1" applyFill="1" applyBorder="1" applyAlignment="1">
      <alignment vertical="top" wrapText="1"/>
    </xf>
    <xf numFmtId="0" fontId="6" fillId="7" borderId="20" xfId="0" applyFont="1" applyFill="1" applyBorder="1" applyAlignment="1">
      <alignment horizontal="left" vertical="top" wrapText="1"/>
    </xf>
    <xf numFmtId="0" fontId="6" fillId="7" borderId="24" xfId="0" applyFont="1" applyFill="1" applyBorder="1" applyAlignment="1">
      <alignment horizontal="left" vertical="top" wrapText="1"/>
    </xf>
    <xf numFmtId="0" fontId="0" fillId="8" borderId="23" xfId="0" applyFill="1" applyBorder="1" applyAlignment="1">
      <alignment horizontal="left" vertical="top"/>
    </xf>
    <xf numFmtId="0" fontId="14" fillId="8" borderId="23" xfId="0" applyFont="1" applyFill="1" applyBorder="1" applyAlignment="1">
      <alignment horizontal="left" vertical="top" wrapText="1"/>
    </xf>
    <xf numFmtId="0" fontId="0" fillId="0" borderId="23" xfId="0" applyFill="1" applyBorder="1" applyAlignment="1">
      <alignment horizontal="left" vertical="top" wrapText="1"/>
    </xf>
    <xf numFmtId="44" fontId="0" fillId="0" borderId="0" xfId="0" applyNumberFormat="1"/>
    <xf numFmtId="166" fontId="6" fillId="6" borderId="20" xfId="0" applyNumberFormat="1" applyFont="1" applyFill="1" applyBorder="1" applyAlignment="1">
      <alignment horizontal="left" vertical="top" wrapText="1"/>
    </xf>
    <xf numFmtId="166" fontId="6" fillId="6" borderId="25" xfId="0" applyNumberFormat="1" applyFont="1" applyFill="1" applyBorder="1" applyAlignment="1">
      <alignment horizontal="left" vertical="top" wrapText="1"/>
    </xf>
    <xf numFmtId="166" fontId="14" fillId="8" borderId="23" xfId="0" applyNumberFormat="1" applyFont="1" applyFill="1" applyBorder="1" applyAlignment="1">
      <alignment vertical="top" wrapText="1"/>
    </xf>
    <xf numFmtId="166" fontId="0" fillId="0" borderId="0" xfId="0" applyNumberFormat="1"/>
    <xf numFmtId="166" fontId="6" fillId="7" borderId="20" xfId="0" applyNumberFormat="1" applyFont="1" applyFill="1" applyBorder="1" applyAlignment="1">
      <alignment horizontal="center" vertical="top" wrapText="1"/>
    </xf>
    <xf numFmtId="166" fontId="6" fillId="7" borderId="24" xfId="0" applyNumberFormat="1" applyFont="1" applyFill="1" applyBorder="1" applyAlignment="1">
      <alignment horizontal="center" vertical="top" wrapText="1"/>
    </xf>
    <xf numFmtId="166" fontId="17" fillId="0" borderId="0" xfId="0" applyNumberFormat="1" applyFont="1"/>
    <xf numFmtId="166" fontId="17" fillId="8" borderId="0" xfId="0" applyNumberFormat="1" applyFont="1" applyFill="1"/>
    <xf numFmtId="166" fontId="3" fillId="8" borderId="23" xfId="0" applyNumberFormat="1" applyFont="1" applyFill="1" applyBorder="1" applyAlignment="1">
      <alignment horizontal="left" vertical="top" wrapText="1"/>
    </xf>
    <xf numFmtId="166" fontId="3" fillId="0" borderId="23" xfId="0" applyNumberFormat="1" applyFont="1" applyFill="1" applyBorder="1" applyAlignment="1">
      <alignment horizontal="left" vertical="top" wrapText="1"/>
    </xf>
    <xf numFmtId="8" fontId="27" fillId="0" borderId="5" xfId="0" applyNumberFormat="1" applyFont="1" applyBorder="1" applyAlignment="1">
      <alignment horizontal="center" vertical="top" wrapText="1"/>
    </xf>
    <xf numFmtId="1" fontId="27" fillId="8" borderId="5" xfId="0" applyNumberFormat="1" applyFont="1" applyFill="1" applyBorder="1" applyAlignment="1">
      <alignment horizontal="left" vertical="top" wrapText="1"/>
    </xf>
    <xf numFmtId="0" fontId="27" fillId="8" borderId="5" xfId="0" applyFont="1" applyFill="1" applyBorder="1" applyAlignment="1">
      <alignment horizontal="left" vertical="top" wrapText="1"/>
    </xf>
    <xf numFmtId="166" fontId="0" fillId="0" borderId="0" xfId="0" applyNumberFormat="1" applyAlignment="1">
      <alignment horizontal="left"/>
    </xf>
    <xf numFmtId="166" fontId="6" fillId="7" borderId="20" xfId="0" applyNumberFormat="1" applyFont="1" applyFill="1" applyBorder="1" applyAlignment="1">
      <alignment horizontal="left" vertical="top" wrapText="1"/>
    </xf>
    <xf numFmtId="166" fontId="6" fillId="7" borderId="24" xfId="0" applyNumberFormat="1" applyFont="1" applyFill="1" applyBorder="1" applyAlignment="1">
      <alignment horizontal="left" vertical="top" wrapText="1"/>
    </xf>
    <xf numFmtId="166" fontId="14" fillId="8" borderId="23" xfId="0" applyNumberFormat="1" applyFont="1" applyFill="1" applyBorder="1" applyAlignment="1">
      <alignment horizontal="left" vertical="top" wrapText="1"/>
    </xf>
    <xf numFmtId="166" fontId="14" fillId="0" borderId="23" xfId="0" applyNumberFormat="1" applyFont="1" applyBorder="1" applyAlignment="1">
      <alignment horizontal="left" vertical="top" wrapText="1"/>
    </xf>
    <xf numFmtId="166" fontId="14" fillId="0" borderId="0" xfId="0" applyNumberFormat="1" applyFont="1" applyBorder="1" applyAlignment="1">
      <alignment horizontal="left" vertical="top" wrapText="1"/>
    </xf>
    <xf numFmtId="8" fontId="3" fillId="8" borderId="23" xfId="0" applyNumberFormat="1" applyFont="1" applyFill="1" applyBorder="1" applyAlignment="1">
      <alignment horizontal="center" vertical="top" wrapText="1"/>
    </xf>
    <xf numFmtId="9" fontId="3" fillId="8" borderId="15" xfId="0" applyNumberFormat="1" applyFont="1" applyFill="1" applyBorder="1" applyAlignment="1">
      <alignment horizontal="left" vertical="top" wrapText="1"/>
    </xf>
    <xf numFmtId="8" fontId="27" fillId="0" borderId="5" xfId="0" applyNumberFormat="1" applyFont="1" applyBorder="1" applyAlignment="1">
      <alignment vertical="top" wrapText="1"/>
    </xf>
    <xf numFmtId="0" fontId="33" fillId="0" borderId="0" xfId="0" applyFont="1"/>
    <xf numFmtId="4" fontId="6" fillId="7" borderId="23" xfId="0" applyNumberFormat="1" applyFont="1" applyFill="1" applyBorder="1" applyAlignment="1">
      <alignment horizontal="left" vertical="top" wrapText="1"/>
    </xf>
    <xf numFmtId="4" fontId="6" fillId="7" borderId="20" xfId="0" applyNumberFormat="1" applyFont="1" applyFill="1" applyBorder="1" applyAlignment="1">
      <alignment horizontal="left" vertical="top" wrapText="1"/>
    </xf>
    <xf numFmtId="0" fontId="33" fillId="7" borderId="0" xfId="0" applyFont="1" applyFill="1" applyAlignment="1">
      <alignment horizontal="left"/>
    </xf>
    <xf numFmtId="4" fontId="3" fillId="8" borderId="23" xfId="0" applyNumberFormat="1" applyFont="1" applyFill="1" applyBorder="1" applyAlignment="1">
      <alignment horizontal="left" vertical="top" wrapText="1"/>
    </xf>
    <xf numFmtId="0" fontId="33" fillId="8" borderId="0" xfId="0" applyFont="1" applyFill="1"/>
    <xf numFmtId="0" fontId="3" fillId="0" borderId="23" xfId="0" applyFont="1" applyBorder="1" applyAlignment="1">
      <alignment vertical="top" wrapText="1"/>
    </xf>
    <xf numFmtId="0" fontId="33" fillId="0" borderId="0" xfId="0" applyFont="1" applyAlignment="1">
      <alignment horizontal="left"/>
    </xf>
    <xf numFmtId="4" fontId="33" fillId="0" borderId="0" xfId="0" applyNumberFormat="1" applyFont="1" applyFill="1" applyAlignment="1">
      <alignment horizontal="left"/>
    </xf>
    <xf numFmtId="0" fontId="17" fillId="7" borderId="0" xfId="0" applyFont="1" applyFill="1" applyAlignment="1">
      <alignment horizontal="left"/>
    </xf>
    <xf numFmtId="0" fontId="17" fillId="7" borderId="0" xfId="0" applyFont="1" applyFill="1"/>
    <xf numFmtId="166" fontId="34" fillId="0" borderId="0" xfId="0" applyNumberFormat="1" applyFont="1"/>
    <xf numFmtId="0" fontId="35" fillId="0" borderId="0" xfId="0" applyFont="1" applyBorder="1" applyAlignment="1">
      <alignment horizontal="center" vertical="center" wrapText="1"/>
    </xf>
    <xf numFmtId="0" fontId="36" fillId="0" borderId="0" xfId="0" applyFont="1" applyBorder="1" applyAlignment="1">
      <alignment horizontal="center" wrapText="1"/>
    </xf>
    <xf numFmtId="0" fontId="23" fillId="0" borderId="0" xfId="0" applyFont="1" applyFill="1"/>
    <xf numFmtId="0" fontId="23" fillId="8" borderId="0" xfId="0" applyFont="1" applyFill="1"/>
    <xf numFmtId="2" fontId="37" fillId="0" borderId="0" xfId="0" applyNumberFormat="1" applyFont="1" applyFill="1"/>
    <xf numFmtId="44" fontId="37" fillId="8" borderId="0" xfId="0" applyNumberFormat="1" applyFont="1" applyFill="1"/>
    <xf numFmtId="166" fontId="37" fillId="0" borderId="0" xfId="0" applyNumberFormat="1" applyFont="1" applyFill="1"/>
    <xf numFmtId="0" fontId="28" fillId="0" borderId="31" xfId="0" applyFont="1" applyFill="1" applyBorder="1"/>
    <xf numFmtId="44" fontId="11" fillId="8" borderId="31" xfId="182" applyFont="1" applyFill="1" applyBorder="1"/>
    <xf numFmtId="44" fontId="7" fillId="0" borderId="31" xfId="182" applyFont="1" applyFill="1" applyBorder="1"/>
    <xf numFmtId="167" fontId="7" fillId="0" borderId="31" xfId="3" applyNumberFormat="1" applyFont="1" applyFill="1" applyBorder="1"/>
    <xf numFmtId="0" fontId="7" fillId="0" borderId="31" xfId="0" applyFont="1" applyFill="1" applyBorder="1"/>
    <xf numFmtId="44" fontId="7" fillId="8" borderId="31" xfId="182" applyFont="1" applyFill="1" applyBorder="1"/>
    <xf numFmtId="166" fontId="0" fillId="0" borderId="0" xfId="0" applyNumberFormat="1" applyFill="1"/>
    <xf numFmtId="166" fontId="7" fillId="8" borderId="31" xfId="182" applyNumberFormat="1" applyFont="1" applyFill="1" applyBorder="1"/>
    <xf numFmtId="166" fontId="7" fillId="0" borderId="31" xfId="182" applyNumberFormat="1" applyFont="1" applyFill="1" applyBorder="1"/>
    <xf numFmtId="166" fontId="7" fillId="0" borderId="31" xfId="0" applyNumberFormat="1" applyFont="1" applyFill="1" applyBorder="1"/>
    <xf numFmtId="166" fontId="0" fillId="0" borderId="0" xfId="0" applyNumberFormat="1" applyFill="1" applyAlignment="1"/>
    <xf numFmtId="166" fontId="7" fillId="8" borderId="31" xfId="182" applyNumberFormat="1" applyFont="1" applyFill="1" applyBorder="1" applyAlignment="1"/>
    <xf numFmtId="166" fontId="7" fillId="0" borderId="31" xfId="182" applyNumberFormat="1" applyFont="1" applyFill="1" applyBorder="1" applyAlignment="1"/>
    <xf numFmtId="167" fontId="7" fillId="0" borderId="31" xfId="3" applyNumberFormat="1" applyFont="1" applyFill="1" applyBorder="1" applyAlignment="1"/>
    <xf numFmtId="166" fontId="7" fillId="0" borderId="31" xfId="0" applyNumberFormat="1" applyFont="1" applyFill="1" applyBorder="1" applyAlignment="1"/>
    <xf numFmtId="44" fontId="38" fillId="8" borderId="31" xfId="182" applyFont="1" applyFill="1" applyBorder="1"/>
    <xf numFmtId="0" fontId="28" fillId="0" borderId="31" xfId="0" applyFont="1" applyFill="1" applyBorder="1" applyAlignment="1">
      <alignment wrapText="1"/>
    </xf>
    <xf numFmtId="0" fontId="29" fillId="0" borderId="31" xfId="0" applyFont="1" applyFill="1" applyBorder="1" applyAlignment="1">
      <alignment wrapText="1"/>
    </xf>
    <xf numFmtId="44" fontId="23" fillId="8" borderId="31" xfId="182" applyFont="1" applyFill="1" applyBorder="1"/>
    <xf numFmtId="44" fontId="23" fillId="8" borderId="0" xfId="182" applyFont="1" applyFill="1" applyBorder="1"/>
    <xf numFmtId="44" fontId="7" fillId="0" borderId="0" xfId="182" applyFont="1" applyFill="1" applyBorder="1"/>
    <xf numFmtId="44" fontId="37" fillId="8" borderId="0" xfId="182" applyFont="1" applyFill="1"/>
    <xf numFmtId="44" fontId="39" fillId="0" borderId="0" xfId="182" applyFont="1" applyFill="1" applyBorder="1"/>
    <xf numFmtId="0" fontId="40" fillId="0" borderId="0" xfId="0" applyFont="1" applyFill="1"/>
    <xf numFmtId="44" fontId="41" fillId="8" borderId="0" xfId="182" applyFont="1" applyFill="1" applyBorder="1"/>
    <xf numFmtId="0" fontId="42" fillId="0" borderId="0" xfId="0" applyFont="1" applyFill="1" applyBorder="1"/>
    <xf numFmtId="43" fontId="43" fillId="0" borderId="0" xfId="3" applyFont="1" applyFill="1"/>
    <xf numFmtId="44" fontId="41" fillId="8" borderId="32" xfId="182" applyFont="1" applyFill="1" applyBorder="1"/>
    <xf numFmtId="44" fontId="44" fillId="0" borderId="32" xfId="182" applyFont="1" applyFill="1" applyBorder="1"/>
    <xf numFmtId="0" fontId="7" fillId="0" borderId="0" xfId="0" applyFont="1" applyFill="1" applyBorder="1"/>
    <xf numFmtId="0" fontId="23" fillId="0" borderId="0" xfId="0" applyFont="1" applyFill="1" applyBorder="1"/>
    <xf numFmtId="0" fontId="17" fillId="0" borderId="0" xfId="0" applyFont="1" applyFill="1"/>
    <xf numFmtId="44" fontId="22" fillId="0" borderId="31" xfId="182" applyFont="1" applyFill="1" applyBorder="1"/>
    <xf numFmtId="44" fontId="23" fillId="0" borderId="31" xfId="182" applyFont="1" applyFill="1" applyBorder="1"/>
    <xf numFmtId="0" fontId="29" fillId="0" borderId="31" xfId="0" applyFont="1" applyFill="1" applyBorder="1"/>
    <xf numFmtId="44" fontId="23" fillId="8" borderId="0" xfId="182" applyFont="1" applyFill="1"/>
    <xf numFmtId="44" fontId="7" fillId="0" borderId="0" xfId="182" applyFont="1" applyFill="1"/>
    <xf numFmtId="44" fontId="44" fillId="0" borderId="0" xfId="182" applyFont="1" applyFill="1" applyBorder="1"/>
    <xf numFmtId="44" fontId="28" fillId="0" borderId="31" xfId="182" applyFont="1" applyFill="1" applyBorder="1"/>
    <xf numFmtId="44" fontId="29" fillId="0" borderId="31" xfId="182" applyFont="1" applyFill="1" applyBorder="1"/>
    <xf numFmtId="44" fontId="45" fillId="0" borderId="0" xfId="182" applyFont="1" applyFill="1"/>
    <xf numFmtId="0" fontId="11" fillId="0" borderId="0" xfId="0" applyFont="1" applyFill="1" applyBorder="1"/>
    <xf numFmtId="44" fontId="11" fillId="8" borderId="0" xfId="182" applyFont="1" applyFill="1" applyBorder="1"/>
    <xf numFmtId="41" fontId="7" fillId="0" borderId="0" xfId="0" applyNumberFormat="1" applyFont="1" applyFill="1" applyBorder="1"/>
    <xf numFmtId="0" fontId="28" fillId="0" borderId="0" xfId="0" applyFont="1" applyFill="1" applyBorder="1"/>
    <xf numFmtId="44" fontId="7" fillId="8" borderId="0" xfId="182" applyFont="1" applyFill="1" applyBorder="1"/>
    <xf numFmtId="41" fontId="7" fillId="0" borderId="31" xfId="0" applyNumberFormat="1" applyFont="1" applyFill="1" applyBorder="1"/>
    <xf numFmtId="168" fontId="7" fillId="0" borderId="31" xfId="0" applyNumberFormat="1" applyFont="1" applyFill="1" applyBorder="1"/>
    <xf numFmtId="41" fontId="7" fillId="8" borderId="31" xfId="0" applyNumberFormat="1" applyFont="1" applyFill="1" applyBorder="1"/>
    <xf numFmtId="166" fontId="11" fillId="0" borderId="31" xfId="182" applyNumberFormat="1" applyFont="1" applyFill="1" applyBorder="1"/>
    <xf numFmtId="166" fontId="11" fillId="8" borderId="31" xfId="182" applyNumberFormat="1" applyFont="1" applyFill="1" applyBorder="1"/>
    <xf numFmtId="41" fontId="46" fillId="0" borderId="31" xfId="0" applyNumberFormat="1" applyFont="1" applyFill="1" applyBorder="1"/>
    <xf numFmtId="7" fontId="7" fillId="0" borderId="31" xfId="0" applyNumberFormat="1" applyFont="1" applyFill="1" applyBorder="1"/>
    <xf numFmtId="0" fontId="11" fillId="0" borderId="31" xfId="0" applyFont="1" applyFill="1" applyBorder="1"/>
    <xf numFmtId="44" fontId="44" fillId="0" borderId="31" xfId="182" applyFont="1" applyFill="1" applyBorder="1"/>
    <xf numFmtId="0" fontId="11" fillId="0" borderId="0" xfId="0" applyFont="1" applyFill="1"/>
    <xf numFmtId="0" fontId="39" fillId="0" borderId="0" xfId="0" applyFont="1" applyFill="1" applyBorder="1"/>
    <xf numFmtId="44" fontId="11" fillId="8" borderId="0" xfId="182" applyFont="1" applyFill="1"/>
    <xf numFmtId="44" fontId="47" fillId="0" borderId="0" xfId="0" applyNumberFormat="1" applyFont="1" applyFill="1"/>
    <xf numFmtId="44" fontId="11" fillId="0" borderId="0" xfId="182" applyFont="1" applyFill="1" applyBorder="1"/>
    <xf numFmtId="3" fontId="7" fillId="0" borderId="0" xfId="0" applyNumberFormat="1" applyFont="1" applyFill="1" applyBorder="1"/>
    <xf numFmtId="3" fontId="7" fillId="0" borderId="31" xfId="0" applyNumberFormat="1" applyFont="1" applyFill="1" applyBorder="1"/>
    <xf numFmtId="44" fontId="11" fillId="0" borderId="31" xfId="182" applyFont="1" applyFill="1" applyBorder="1"/>
    <xf numFmtId="0" fontId="7" fillId="0" borderId="31" xfId="0" applyFont="1" applyFill="1" applyBorder="1" applyAlignment="1">
      <alignment wrapText="1"/>
    </xf>
    <xf numFmtId="44" fontId="39" fillId="0" borderId="0" xfId="182" applyFont="1" applyFill="1"/>
    <xf numFmtId="0" fontId="7" fillId="0" borderId="33" xfId="0" applyFont="1" applyFill="1" applyBorder="1"/>
    <xf numFmtId="0" fontId="7" fillId="0" borderId="33" xfId="0" applyFont="1" applyBorder="1"/>
    <xf numFmtId="0" fontId="0" fillId="0" borderId="0" xfId="0" applyFill="1" applyBorder="1"/>
    <xf numFmtId="0" fontId="28" fillId="0" borderId="33" xfId="0" applyFont="1" applyFill="1" applyBorder="1"/>
    <xf numFmtId="44" fontId="7" fillId="0" borderId="31" xfId="182" applyFont="1" applyFill="1" applyBorder="1" applyAlignment="1">
      <alignment horizontal="left"/>
    </xf>
    <xf numFmtId="44" fontId="39" fillId="0" borderId="31" xfId="182" applyFont="1" applyFill="1" applyBorder="1"/>
    <xf numFmtId="0" fontId="42" fillId="0" borderId="31" xfId="0" applyFont="1" applyFill="1" applyBorder="1"/>
    <xf numFmtId="44" fontId="42" fillId="0" borderId="0" xfId="182" applyFont="1" applyFill="1" applyBorder="1"/>
    <xf numFmtId="0" fontId="37" fillId="0" borderId="0" xfId="0" applyFont="1" applyFill="1" applyBorder="1"/>
    <xf numFmtId="42" fontId="37" fillId="8" borderId="0" xfId="0" applyNumberFormat="1" applyFont="1" applyFill="1" applyBorder="1"/>
    <xf numFmtId="0" fontId="48" fillId="0" borderId="0" xfId="0" applyFont="1" applyFill="1" applyBorder="1"/>
    <xf numFmtId="0" fontId="49" fillId="8" borderId="0" xfId="0" applyFont="1" applyFill="1" applyBorder="1"/>
    <xf numFmtId="42" fontId="37" fillId="0" borderId="0" xfId="0" applyNumberFormat="1" applyFont="1" applyFill="1" applyBorder="1"/>
    <xf numFmtId="42" fontId="29" fillId="0" borderId="31" xfId="0" applyNumberFormat="1" applyFont="1" applyFill="1" applyBorder="1"/>
    <xf numFmtId="42" fontId="11" fillId="8" borderId="31" xfId="0" applyNumberFormat="1" applyFont="1" applyFill="1" applyBorder="1"/>
    <xf numFmtId="42" fontId="11" fillId="0" borderId="31" xfId="0" applyNumberFormat="1" applyFont="1" applyFill="1" applyBorder="1"/>
    <xf numFmtId="44" fontId="0" fillId="0" borderId="0" xfId="0" applyNumberFormat="1" applyFill="1"/>
    <xf numFmtId="42" fontId="29" fillId="0" borderId="31" xfId="0" applyNumberFormat="1" applyFont="1" applyFill="1" applyBorder="1" applyAlignment="1">
      <alignment wrapText="1"/>
    </xf>
    <xf numFmtId="42" fontId="23" fillId="0" borderId="0" xfId="0" applyNumberFormat="1" applyFont="1" applyFill="1"/>
    <xf numFmtId="42" fontId="23" fillId="8" borderId="0" xfId="0" applyNumberFormat="1" applyFont="1" applyFill="1"/>
    <xf numFmtId="0" fontId="31" fillId="0" borderId="0" xfId="0" applyFont="1" applyFill="1"/>
    <xf numFmtId="42" fontId="50" fillId="0" borderId="0" xfId="0" applyNumberFormat="1" applyFont="1" applyFill="1"/>
    <xf numFmtId="42" fontId="50" fillId="8" borderId="0" xfId="0" applyNumberFormat="1" applyFont="1" applyFill="1"/>
    <xf numFmtId="0" fontId="48" fillId="0" borderId="0" xfId="0" applyFont="1" applyFill="1"/>
    <xf numFmtId="0" fontId="51" fillId="0" borderId="0" xfId="0" applyFont="1" applyFill="1"/>
    <xf numFmtId="0" fontId="52" fillId="0" borderId="0" xfId="0" applyFont="1"/>
    <xf numFmtId="0" fontId="31" fillId="0" borderId="0" xfId="0" applyFont="1"/>
    <xf numFmtId="0" fontId="31" fillId="0" borderId="31" xfId="0" applyFont="1" applyBorder="1"/>
    <xf numFmtId="44" fontId="8" fillId="8" borderId="31" xfId="182" applyFont="1" applyFill="1" applyBorder="1"/>
    <xf numFmtId="0" fontId="31" fillId="0" borderId="31" xfId="0" applyFont="1" applyBorder="1" applyAlignment="1">
      <alignment horizontal="center"/>
    </xf>
    <xf numFmtId="0" fontId="0" fillId="0" borderId="34" xfId="0" quotePrefix="1" applyBorder="1"/>
    <xf numFmtId="0" fontId="0" fillId="0" borderId="34" xfId="0" applyBorder="1"/>
    <xf numFmtId="42" fontId="0" fillId="0" borderId="31" xfId="0" applyNumberFormat="1" applyBorder="1"/>
    <xf numFmtId="42" fontId="0" fillId="0" borderId="34" xfId="0" applyNumberFormat="1" applyFill="1" applyBorder="1"/>
    <xf numFmtId="2" fontId="31" fillId="0" borderId="31" xfId="0" applyNumberFormat="1" applyFont="1" applyBorder="1"/>
    <xf numFmtId="0" fontId="0" fillId="0" borderId="32" xfId="0" applyBorder="1"/>
    <xf numFmtId="42" fontId="0" fillId="0" borderId="32" xfId="0" applyNumberFormat="1" applyBorder="1"/>
    <xf numFmtId="0" fontId="0" fillId="0" borderId="31" xfId="0" quotePrefix="1" applyBorder="1"/>
    <xf numFmtId="0" fontId="0" fillId="0" borderId="31" xfId="0" applyBorder="1"/>
    <xf numFmtId="42" fontId="0" fillId="0" borderId="31" xfId="0" applyNumberFormat="1" applyFill="1" applyBorder="1"/>
    <xf numFmtId="0" fontId="0" fillId="0" borderId="0" xfId="0" quotePrefix="1" applyBorder="1"/>
    <xf numFmtId="0" fontId="0" fillId="0" borderId="31" xfId="0" applyBorder="1" applyAlignment="1">
      <alignment wrapText="1"/>
    </xf>
    <xf numFmtId="2" fontId="31" fillId="0" borderId="31" xfId="0" applyNumberFormat="1" applyFont="1" applyFill="1" applyBorder="1"/>
    <xf numFmtId="42" fontId="0" fillId="0" borderId="0" xfId="0" applyNumberFormat="1" applyBorder="1"/>
    <xf numFmtId="0" fontId="0" fillId="0" borderId="0" xfId="0" quotePrefix="1" applyFill="1" applyBorder="1"/>
    <xf numFmtId="43" fontId="0" fillId="0" borderId="0" xfId="3" applyFont="1"/>
    <xf numFmtId="2" fontId="31" fillId="0" borderId="0" xfId="0" applyNumberFormat="1" applyFont="1" applyBorder="1"/>
    <xf numFmtId="42" fontId="0" fillId="0" borderId="34" xfId="0" applyNumberFormat="1" applyBorder="1"/>
    <xf numFmtId="44" fontId="31" fillId="8" borderId="31" xfId="182" applyFont="1" applyFill="1" applyBorder="1"/>
    <xf numFmtId="0" fontId="48" fillId="0" borderId="31" xfId="0" applyFont="1" applyBorder="1"/>
    <xf numFmtId="44" fontId="8" fillId="8" borderId="31" xfId="182" applyFont="1" applyFill="1" applyBorder="1" applyAlignment="1">
      <alignment horizontal="center"/>
    </xf>
    <xf numFmtId="42" fontId="31" fillId="0" borderId="31" xfId="0" applyNumberFormat="1" applyFont="1" applyBorder="1"/>
    <xf numFmtId="44" fontId="0" fillId="0" borderId="31" xfId="0" applyNumberFormat="1" applyFont="1" applyBorder="1"/>
    <xf numFmtId="2" fontId="8" fillId="8" borderId="31" xfId="182" applyNumberFormat="1" applyFont="1" applyFill="1" applyBorder="1"/>
    <xf numFmtId="42" fontId="31" fillId="0" borderId="31" xfId="0" applyNumberFormat="1" applyFont="1" applyFill="1" applyBorder="1"/>
    <xf numFmtId="44" fontId="0" fillId="8" borderId="31" xfId="0" applyNumberFormat="1" applyFont="1" applyFill="1" applyBorder="1"/>
    <xf numFmtId="0" fontId="53" fillId="0" borderId="0" xfId="0" applyFont="1"/>
    <xf numFmtId="2" fontId="0" fillId="0" borderId="0" xfId="0" applyNumberFormat="1"/>
    <xf numFmtId="0" fontId="54" fillId="0" borderId="0" xfId="0" applyFont="1"/>
    <xf numFmtId="2" fontId="31" fillId="0" borderId="31" xfId="0" applyNumberFormat="1" applyFont="1" applyBorder="1" applyAlignment="1">
      <alignment horizontal="center"/>
    </xf>
    <xf numFmtId="2" fontId="0" fillId="0" borderId="0" xfId="0" applyNumberFormat="1" applyAlignment="1">
      <alignment horizontal="center"/>
    </xf>
    <xf numFmtId="42" fontId="0" fillId="8" borderId="31" xfId="0" applyNumberFormat="1" applyFill="1" applyBorder="1"/>
    <xf numFmtId="42" fontId="31" fillId="8" borderId="31" xfId="0" applyNumberFormat="1" applyFont="1" applyFill="1" applyBorder="1"/>
    <xf numFmtId="1" fontId="0" fillId="0" borderId="0" xfId="0" applyNumberFormat="1"/>
    <xf numFmtId="0" fontId="31" fillId="0" borderId="35" xfId="0" applyFont="1" applyFill="1" applyBorder="1"/>
    <xf numFmtId="42" fontId="31" fillId="0" borderId="35" xfId="0" applyNumberFormat="1" applyFont="1" applyFill="1" applyBorder="1"/>
    <xf numFmtId="42" fontId="31" fillId="8" borderId="35" xfId="0" applyNumberFormat="1" applyFont="1" applyFill="1" applyBorder="1"/>
    <xf numFmtId="42" fontId="0" fillId="0" borderId="0" xfId="0" applyNumberFormat="1"/>
    <xf numFmtId="0" fontId="54" fillId="0" borderId="29" xfId="0" applyFont="1" applyBorder="1"/>
    <xf numFmtId="42" fontId="54" fillId="0" borderId="29" xfId="0" applyNumberFormat="1" applyFont="1" applyFill="1" applyBorder="1"/>
    <xf numFmtId="167" fontId="0" fillId="0" borderId="0" xfId="0" applyNumberFormat="1"/>
    <xf numFmtId="44" fontId="0" fillId="8" borderId="31" xfId="182" applyFont="1" applyFill="1" applyBorder="1"/>
    <xf numFmtId="44" fontId="0" fillId="0" borderId="31" xfId="182" applyFont="1" applyBorder="1"/>
    <xf numFmtId="43" fontId="0" fillId="0" borderId="31" xfId="3" applyFont="1" applyBorder="1"/>
    <xf numFmtId="0" fontId="48" fillId="0" borderId="0" xfId="0" applyFont="1" applyBorder="1"/>
    <xf numFmtId="2" fontId="0" fillId="0" borderId="0" xfId="0" applyNumberFormat="1" applyBorder="1" applyAlignment="1">
      <alignment horizontal="center"/>
    </xf>
    <xf numFmtId="2" fontId="0" fillId="0" borderId="0" xfId="0" applyNumberFormat="1" applyBorder="1"/>
    <xf numFmtId="0" fontId="0" fillId="0" borderId="0" xfId="0" applyFont="1" applyBorder="1"/>
    <xf numFmtId="42" fontId="0" fillId="0" borderId="0" xfId="0" applyNumberFormat="1" applyFont="1" applyBorder="1"/>
    <xf numFmtId="0" fontId="48" fillId="0" borderId="0" xfId="0" applyFont="1"/>
    <xf numFmtId="0" fontId="0" fillId="0" borderId="31" xfId="0" applyFont="1" applyBorder="1"/>
    <xf numFmtId="42" fontId="0" fillId="8" borderId="31" xfId="0" applyNumberFormat="1" applyFont="1" applyFill="1" applyBorder="1"/>
    <xf numFmtId="9" fontId="0" fillId="8" borderId="31" xfId="183" applyFont="1" applyFill="1" applyBorder="1"/>
    <xf numFmtId="0" fontId="0" fillId="0" borderId="34" xfId="0" applyFont="1" applyBorder="1"/>
    <xf numFmtId="42" fontId="0" fillId="8" borderId="34" xfId="0" applyNumberFormat="1" applyFont="1" applyFill="1" applyBorder="1"/>
    <xf numFmtId="9" fontId="31" fillId="8" borderId="0" xfId="0" applyNumberFormat="1" applyFont="1" applyFill="1" applyBorder="1"/>
    <xf numFmtId="0" fontId="31" fillId="0" borderId="36" xfId="0" applyFont="1" applyBorder="1"/>
    <xf numFmtId="42" fontId="0" fillId="0" borderId="36" xfId="0" applyNumberFormat="1" applyBorder="1"/>
    <xf numFmtId="3" fontId="0" fillId="8" borderId="31" xfId="0" applyNumberFormat="1" applyFill="1" applyBorder="1" applyProtection="1">
      <protection locked="0"/>
    </xf>
    <xf numFmtId="9" fontId="0" fillId="8" borderId="31" xfId="183" applyFont="1" applyFill="1" applyBorder="1" applyProtection="1">
      <protection locked="0"/>
    </xf>
    <xf numFmtId="10" fontId="31" fillId="8" borderId="36" xfId="0" applyNumberFormat="1" applyFont="1" applyFill="1" applyBorder="1"/>
    <xf numFmtId="0" fontId="31" fillId="0" borderId="0" xfId="0" applyFont="1" applyBorder="1"/>
    <xf numFmtId="169" fontId="0" fillId="0" borderId="31" xfId="182" applyNumberFormat="1" applyFont="1" applyBorder="1"/>
    <xf numFmtId="42" fontId="0" fillId="8" borderId="34" xfId="0" applyNumberFormat="1" applyFill="1" applyBorder="1"/>
    <xf numFmtId="2" fontId="31" fillId="0" borderId="34" xfId="0" applyNumberFormat="1" applyFont="1" applyBorder="1"/>
    <xf numFmtId="0" fontId="31" fillId="0" borderId="34" xfId="0" applyFont="1" applyBorder="1"/>
    <xf numFmtId="42" fontId="31" fillId="0" borderId="37" xfId="0" applyNumberFormat="1" applyFont="1" applyBorder="1"/>
    <xf numFmtId="42" fontId="31" fillId="0" borderId="34" xfId="0" applyNumberFormat="1" applyFont="1" applyFill="1" applyBorder="1"/>
    <xf numFmtId="42" fontId="31" fillId="0" borderId="34" xfId="0" applyNumberFormat="1" applyFont="1" applyBorder="1"/>
    <xf numFmtId="0" fontId="31" fillId="0" borderId="36" xfId="0" applyFont="1" applyFill="1" applyBorder="1"/>
    <xf numFmtId="42" fontId="31" fillId="0" borderId="38" xfId="0" applyNumberFormat="1" applyFont="1" applyBorder="1"/>
    <xf numFmtId="42" fontId="31" fillId="0" borderId="36" xfId="0" applyNumberFormat="1" applyFont="1" applyFill="1" applyBorder="1"/>
    <xf numFmtId="2" fontId="31" fillId="0" borderId="36" xfId="0" applyNumberFormat="1" applyFont="1" applyBorder="1"/>
    <xf numFmtId="42" fontId="31" fillId="8" borderId="36" xfId="0" applyNumberFormat="1" applyFont="1" applyFill="1" applyBorder="1"/>
    <xf numFmtId="2" fontId="31" fillId="8" borderId="31" xfId="0" applyNumberFormat="1" applyFont="1" applyFill="1" applyBorder="1"/>
    <xf numFmtId="42" fontId="0" fillId="0" borderId="0" xfId="0" applyNumberFormat="1" applyFill="1" applyBorder="1"/>
    <xf numFmtId="0" fontId="0" fillId="0" borderId="31" xfId="0" quotePrefix="1" applyFill="1" applyBorder="1"/>
    <xf numFmtId="2" fontId="31" fillId="0" borderId="0" xfId="0" applyNumberFormat="1" applyFont="1" applyFill="1" applyBorder="1"/>
    <xf numFmtId="0" fontId="0" fillId="0" borderId="32" xfId="0" applyFill="1" applyBorder="1"/>
    <xf numFmtId="42" fontId="31" fillId="0" borderId="0" xfId="0" applyNumberFormat="1" applyFont="1" applyBorder="1"/>
    <xf numFmtId="0" fontId="52" fillId="0" borderId="0" xfId="0" applyFont="1" applyFill="1"/>
    <xf numFmtId="42" fontId="55" fillId="0" borderId="31" xfId="0" applyNumberFormat="1" applyFont="1" applyBorder="1"/>
    <xf numFmtId="42" fontId="54" fillId="0" borderId="0" xfId="0" applyNumberFormat="1" applyFont="1" applyFill="1" applyBorder="1"/>
    <xf numFmtId="0" fontId="56" fillId="0" borderId="0" xfId="0" applyFont="1"/>
    <xf numFmtId="0" fontId="57" fillId="0" borderId="0" xfId="0" applyFont="1"/>
    <xf numFmtId="42" fontId="31" fillId="0" borderId="29" xfId="0" applyNumberFormat="1" applyFont="1" applyFill="1" applyBorder="1"/>
    <xf numFmtId="42" fontId="31" fillId="8" borderId="29" xfId="0" applyNumberFormat="1" applyFont="1" applyFill="1" applyBorder="1"/>
    <xf numFmtId="2" fontId="0" fillId="0" borderId="0" xfId="0" applyNumberFormat="1" applyFill="1"/>
    <xf numFmtId="0" fontId="0" fillId="0" borderId="0" xfId="0" applyFont="1" applyFill="1"/>
    <xf numFmtId="0" fontId="53" fillId="0" borderId="29" xfId="0" applyFont="1" applyBorder="1"/>
    <xf numFmtId="42" fontId="53" fillId="8" borderId="29" xfId="0" applyNumberFormat="1" applyFont="1" applyFill="1" applyBorder="1"/>
    <xf numFmtId="0" fontId="0" fillId="0" borderId="39" xfId="0" applyBorder="1"/>
    <xf numFmtId="0" fontId="0" fillId="0" borderId="40" xfId="0" applyBorder="1"/>
    <xf numFmtId="0" fontId="31" fillId="0" borderId="40" xfId="0" applyFont="1" applyBorder="1"/>
    <xf numFmtId="0" fontId="0" fillId="0" borderId="41" xfId="0" applyBorder="1"/>
    <xf numFmtId="42" fontId="0" fillId="8" borderId="42" xfId="0" applyNumberFormat="1" applyFill="1" applyBorder="1"/>
    <xf numFmtId="0" fontId="0" fillId="0" borderId="39" xfId="0" applyFont="1" applyBorder="1"/>
    <xf numFmtId="0" fontId="0" fillId="0" borderId="40" xfId="0" applyFont="1" applyBorder="1"/>
    <xf numFmtId="0" fontId="31" fillId="0" borderId="34" xfId="0" applyFont="1" applyBorder="1" applyAlignment="1">
      <alignment horizontal="center"/>
    </xf>
    <xf numFmtId="0" fontId="31" fillId="0" borderId="43" xfId="0" applyFont="1" applyBorder="1" applyAlignment="1">
      <alignment horizontal="center"/>
    </xf>
    <xf numFmtId="0" fontId="31" fillId="0" borderId="42" xfId="0" applyFont="1" applyBorder="1"/>
    <xf numFmtId="0" fontId="31" fillId="0" borderId="41" xfId="0" applyFont="1" applyBorder="1" applyAlignment="1">
      <alignment horizontal="center"/>
    </xf>
    <xf numFmtId="41" fontId="0" fillId="0" borderId="43" xfId="0" applyNumberFormat="1" applyBorder="1"/>
    <xf numFmtId="41" fontId="0" fillId="0" borderId="34" xfId="0" applyNumberFormat="1" applyBorder="1"/>
    <xf numFmtId="0" fontId="0" fillId="0" borderId="42" xfId="0" applyBorder="1"/>
    <xf numFmtId="41" fontId="0" fillId="0" borderId="41" xfId="0" applyNumberFormat="1" applyBorder="1"/>
    <xf numFmtId="41" fontId="0" fillId="0" borderId="42" xfId="0" applyNumberFormat="1" applyBorder="1"/>
    <xf numFmtId="0" fontId="0" fillId="0" borderId="36" xfId="0" applyFill="1" applyBorder="1"/>
    <xf numFmtId="41" fontId="0" fillId="0" borderId="44" xfId="0" applyNumberFormat="1" applyBorder="1"/>
    <xf numFmtId="41" fontId="0" fillId="0" borderId="36" xfId="0" applyNumberFormat="1" applyBorder="1"/>
    <xf numFmtId="0" fontId="0" fillId="0" borderId="34" xfId="0" applyFill="1" applyBorder="1"/>
    <xf numFmtId="41" fontId="0" fillId="0" borderId="37" xfId="0" applyNumberFormat="1" applyBorder="1"/>
    <xf numFmtId="41" fontId="0" fillId="0" borderId="38" xfId="0" applyNumberFormat="1" applyBorder="1"/>
    <xf numFmtId="41" fontId="0" fillId="0" borderId="31" xfId="0" applyNumberFormat="1" applyBorder="1"/>
    <xf numFmtId="41" fontId="0" fillId="0" borderId="0" xfId="0" applyNumberFormat="1"/>
    <xf numFmtId="0" fontId="0" fillId="0" borderId="31" xfId="0" applyFill="1" applyBorder="1"/>
    <xf numFmtId="0" fontId="31" fillId="0" borderId="34" xfId="0" applyFont="1" applyFill="1" applyBorder="1"/>
    <xf numFmtId="41" fontId="31" fillId="0" borderId="37" xfId="0" applyNumberFormat="1" applyFont="1" applyBorder="1"/>
    <xf numFmtId="41" fontId="31" fillId="0" borderId="34" xfId="0" applyNumberFormat="1" applyFont="1" applyBorder="1"/>
    <xf numFmtId="41" fontId="31" fillId="0" borderId="38" xfId="0" applyNumberFormat="1" applyFont="1" applyBorder="1"/>
    <xf numFmtId="41" fontId="31" fillId="0" borderId="36" xfId="0" applyNumberFormat="1" applyFont="1" applyBorder="1"/>
    <xf numFmtId="0" fontId="0" fillId="0" borderId="42" xfId="0" applyFill="1" applyBorder="1"/>
    <xf numFmtId="41" fontId="0" fillId="0" borderId="45" xfId="0" applyNumberFormat="1" applyBorder="1"/>
    <xf numFmtId="41" fontId="31" fillId="0" borderId="35" xfId="0" applyNumberFormat="1" applyFont="1" applyBorder="1"/>
    <xf numFmtId="41" fontId="31" fillId="0" borderId="46" xfId="0" applyNumberFormat="1" applyFont="1" applyBorder="1"/>
    <xf numFmtId="0" fontId="52" fillId="8" borderId="0" xfId="0" applyFont="1" applyFill="1"/>
    <xf numFmtId="0" fontId="31" fillId="0" borderId="31" xfId="0" applyFont="1" applyFill="1" applyBorder="1"/>
    <xf numFmtId="0" fontId="0" fillId="0" borderId="31" xfId="0" applyFill="1" applyBorder="1" applyAlignment="1">
      <alignment horizontal="left"/>
    </xf>
    <xf numFmtId="0" fontId="0" fillId="0" borderId="0" xfId="0" applyFill="1" applyBorder="1" applyAlignment="1">
      <alignment horizontal="left"/>
    </xf>
    <xf numFmtId="0" fontId="48" fillId="0" borderId="31" xfId="0" applyFont="1" applyFill="1" applyBorder="1"/>
    <xf numFmtId="2" fontId="0" fillId="0" borderId="31" xfId="0" applyNumberFormat="1" applyFill="1" applyBorder="1" applyAlignment="1">
      <alignment horizontal="center"/>
    </xf>
    <xf numFmtId="42" fontId="0" fillId="0" borderId="31" xfId="0" applyNumberFormat="1" applyFont="1" applyFill="1" applyBorder="1"/>
    <xf numFmtId="0" fontId="0" fillId="8" borderId="0" xfId="0" applyFill="1" applyBorder="1"/>
    <xf numFmtId="2" fontId="0" fillId="0" borderId="31" xfId="0" applyNumberFormat="1" applyBorder="1" applyAlignment="1">
      <alignment horizontal="center"/>
    </xf>
    <xf numFmtId="42" fontId="0" fillId="0" borderId="31" xfId="0" applyNumberFormat="1" applyFont="1" applyBorder="1"/>
    <xf numFmtId="44" fontId="0" fillId="8" borderId="0" xfId="0" applyNumberFormat="1" applyFill="1"/>
    <xf numFmtId="0" fontId="61" fillId="0" borderId="0" xfId="0" applyFont="1" applyAlignment="1">
      <alignment horizontal="left" vertical="center" wrapText="1"/>
    </xf>
    <xf numFmtId="0" fontId="62" fillId="0" borderId="0" xfId="0" applyFont="1" applyAlignment="1">
      <alignment vertical="center" wrapText="1"/>
    </xf>
    <xf numFmtId="0" fontId="49" fillId="0" borderId="0" xfId="0" applyFont="1" applyAlignment="1">
      <alignment horizontal="justify" vertical="center"/>
    </xf>
    <xf numFmtId="0" fontId="64" fillId="0" borderId="0" xfId="0" applyFont="1" applyAlignment="1">
      <alignment horizontal="justify" vertical="center"/>
    </xf>
    <xf numFmtId="0" fontId="59" fillId="0" borderId="0" xfId="0" applyFont="1" applyAlignment="1">
      <alignment horizontal="justify"/>
    </xf>
    <xf numFmtId="0" fontId="65" fillId="0" borderId="0" xfId="0" applyFont="1" applyAlignment="1">
      <alignment horizontal="justify"/>
    </xf>
    <xf numFmtId="0" fontId="66" fillId="0" borderId="0" xfId="0" applyFont="1" applyAlignment="1">
      <alignment horizontal="justify" vertical="top"/>
    </xf>
    <xf numFmtId="0" fontId="66" fillId="0" borderId="0" xfId="0" applyFont="1" applyAlignment="1">
      <alignment horizontal="justify" vertical="top" wrapText="1"/>
    </xf>
    <xf numFmtId="0" fontId="9" fillId="13" borderId="47" xfId="0" applyFont="1" applyFill="1" applyBorder="1"/>
    <xf numFmtId="0" fontId="9" fillId="4" borderId="47" xfId="0" applyFont="1" applyFill="1" applyBorder="1" applyAlignment="1">
      <alignment horizontal="left" vertical="top" wrapText="1"/>
    </xf>
    <xf numFmtId="0" fontId="67" fillId="13" borderId="47" xfId="0" applyFont="1" applyFill="1" applyBorder="1" applyAlignment="1">
      <alignment horizontal="justify" vertical="top"/>
    </xf>
    <xf numFmtId="0" fontId="67" fillId="13" borderId="47" xfId="0" applyFont="1" applyFill="1" applyBorder="1" applyAlignment="1">
      <alignment vertical="top" wrapText="1"/>
    </xf>
    <xf numFmtId="0" fontId="0" fillId="8" borderId="23" xfId="0" applyFont="1" applyFill="1" applyBorder="1" applyAlignment="1">
      <alignment vertical="top" wrapText="1"/>
    </xf>
    <xf numFmtId="0" fontId="0" fillId="0" borderId="23" xfId="0" applyBorder="1"/>
    <xf numFmtId="0" fontId="0" fillId="8" borderId="23" xfId="0" applyFont="1" applyFill="1" applyBorder="1" applyAlignment="1">
      <alignment horizontal="left" vertical="top"/>
    </xf>
    <xf numFmtId="0" fontId="31" fillId="8" borderId="23" xfId="0" applyFont="1" applyFill="1" applyBorder="1" applyAlignment="1">
      <alignment horizontal="center" vertical="top" wrapText="1"/>
    </xf>
    <xf numFmtId="0" fontId="31" fillId="0" borderId="23" xfId="0" applyFont="1" applyBorder="1" applyAlignment="1">
      <alignment horizontal="center" wrapText="1"/>
    </xf>
    <xf numFmtId="0" fontId="31" fillId="0" borderId="0" xfId="0" applyFont="1" applyAlignment="1">
      <alignment horizontal="center"/>
    </xf>
    <xf numFmtId="0" fontId="31" fillId="0" borderId="23" xfId="0" applyFont="1" applyBorder="1" applyAlignment="1">
      <alignment horizontal="center" vertical="center" wrapText="1"/>
    </xf>
    <xf numFmtId="10" fontId="0" fillId="0" borderId="23" xfId="0" applyNumberFormat="1" applyBorder="1"/>
    <xf numFmtId="0" fontId="9" fillId="4" borderId="47" xfId="0" applyFont="1" applyFill="1" applyBorder="1" applyAlignment="1">
      <alignment horizontal="left" vertical="top" wrapText="1"/>
    </xf>
    <xf numFmtId="0" fontId="24" fillId="10" borderId="6" xfId="0" applyFont="1" applyFill="1" applyBorder="1" applyAlignment="1">
      <alignment horizontal="center" vertical="top" wrapText="1"/>
    </xf>
    <xf numFmtId="0" fontId="24" fillId="10" borderId="9" xfId="0" applyFont="1" applyFill="1" applyBorder="1" applyAlignment="1">
      <alignment horizontal="center" vertical="top" wrapText="1"/>
    </xf>
    <xf numFmtId="0" fontId="24" fillId="10" borderId="10" xfId="0" applyFont="1" applyFill="1" applyBorder="1" applyAlignment="1">
      <alignment horizontal="center" vertical="top" wrapText="1"/>
    </xf>
    <xf numFmtId="0" fontId="24" fillId="10" borderId="11" xfId="0" applyFont="1" applyFill="1" applyBorder="1" applyAlignment="1">
      <alignment horizontal="center" vertical="top" wrapText="1"/>
    </xf>
    <xf numFmtId="0" fontId="24" fillId="10" borderId="0" xfId="0" applyFont="1" applyFill="1" applyBorder="1" applyAlignment="1">
      <alignment horizontal="center" vertical="top" wrapText="1"/>
    </xf>
    <xf numFmtId="0" fontId="24" fillId="10" borderId="12" xfId="0" applyFont="1" applyFill="1" applyBorder="1" applyAlignment="1">
      <alignment horizontal="center" vertical="top" wrapText="1"/>
    </xf>
    <xf numFmtId="0" fontId="12" fillId="10" borderId="8" xfId="0" applyFont="1" applyFill="1" applyBorder="1" applyAlignment="1">
      <alignment horizontal="center" vertical="top" wrapText="1"/>
    </xf>
    <xf numFmtId="0" fontId="12" fillId="10" borderId="13" xfId="0" applyFont="1" applyFill="1" applyBorder="1" applyAlignment="1">
      <alignment horizontal="center" vertical="top" wrapText="1"/>
    </xf>
    <xf numFmtId="0" fontId="12" fillId="10" borderId="14" xfId="0" applyFont="1" applyFill="1" applyBorder="1" applyAlignment="1">
      <alignment horizontal="center" vertical="top" wrapText="1"/>
    </xf>
    <xf numFmtId="0" fontId="15" fillId="7" borderId="20" xfId="0" applyFont="1" applyFill="1" applyBorder="1" applyAlignment="1">
      <alignment horizontal="center" vertical="top" wrapText="1"/>
    </xf>
    <xf numFmtId="0" fontId="15" fillId="7" borderId="24" xfId="0" applyFont="1" applyFill="1" applyBorder="1" applyAlignment="1">
      <alignment horizontal="center" vertical="top" wrapText="1"/>
    </xf>
    <xf numFmtId="0" fontId="5" fillId="10" borderId="2" xfId="0" applyFont="1" applyFill="1" applyBorder="1" applyAlignment="1">
      <alignment horizontal="center" vertical="top" wrapText="1"/>
    </xf>
    <xf numFmtId="0" fontId="4" fillId="10" borderId="3" xfId="0" applyFont="1" applyFill="1" applyBorder="1" applyAlignment="1">
      <alignment horizontal="center" vertical="top" wrapText="1"/>
    </xf>
    <xf numFmtId="0" fontId="4" fillId="10" borderId="4" xfId="0" applyFont="1" applyFill="1" applyBorder="1" applyAlignment="1">
      <alignment horizontal="center" vertical="top" wrapText="1"/>
    </xf>
    <xf numFmtId="0" fontId="6" fillId="7" borderId="20" xfId="0" applyFont="1" applyFill="1" applyBorder="1" applyAlignment="1">
      <alignment horizontal="center" vertical="top" wrapText="1"/>
    </xf>
    <xf numFmtId="0" fontId="6" fillId="7" borderId="24" xfId="0" applyFont="1" applyFill="1" applyBorder="1" applyAlignment="1">
      <alignment horizontal="center" vertical="top" wrapText="1"/>
    </xf>
    <xf numFmtId="0" fontId="6" fillId="7" borderId="23" xfId="0" applyFont="1" applyFill="1" applyBorder="1" applyAlignment="1">
      <alignment horizontal="center" vertical="top" wrapText="1"/>
    </xf>
    <xf numFmtId="4" fontId="6" fillId="7" borderId="23" xfId="0" applyNumberFormat="1" applyFont="1" applyFill="1" applyBorder="1" applyAlignment="1">
      <alignment horizontal="center" vertical="top" wrapText="1"/>
    </xf>
    <xf numFmtId="0" fontId="6" fillId="7" borderId="23" xfId="0" applyFont="1" applyFill="1" applyBorder="1" applyAlignment="1">
      <alignment horizontal="left" vertical="top" wrapText="1"/>
    </xf>
    <xf numFmtId="0" fontId="15" fillId="10" borderId="2" xfId="0" applyFont="1" applyFill="1" applyBorder="1" applyAlignment="1">
      <alignment horizontal="center" vertical="top" wrapText="1"/>
    </xf>
    <xf numFmtId="0" fontId="15" fillId="10" borderId="3" xfId="0" applyFont="1" applyFill="1" applyBorder="1" applyAlignment="1">
      <alignment horizontal="center" vertical="top" wrapText="1"/>
    </xf>
    <xf numFmtId="0" fontId="15" fillId="10" borderId="4" xfId="0" applyFont="1" applyFill="1" applyBorder="1" applyAlignment="1">
      <alignment horizontal="center" vertical="top" wrapText="1"/>
    </xf>
    <xf numFmtId="0" fontId="6" fillId="6" borderId="15" xfId="0"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5" xfId="0" applyFont="1" applyFill="1" applyBorder="1" applyAlignment="1">
      <alignment horizontal="center" vertical="top" wrapText="1"/>
    </xf>
    <xf numFmtId="0" fontId="6" fillId="6" borderId="20" xfId="0" applyFont="1" applyFill="1" applyBorder="1" applyAlignment="1">
      <alignment horizontal="center" vertical="top" wrapText="1"/>
    </xf>
    <xf numFmtId="0" fontId="18" fillId="10" borderId="15" xfId="0" applyFont="1" applyFill="1" applyBorder="1" applyAlignment="1">
      <alignment horizontal="center" vertical="top" wrapText="1"/>
    </xf>
    <xf numFmtId="0" fontId="18" fillId="10" borderId="23" xfId="0" applyFont="1" applyFill="1" applyBorder="1" applyAlignment="1">
      <alignment horizontal="center" vertical="top" wrapText="1"/>
    </xf>
    <xf numFmtId="3" fontId="6" fillId="6" borderId="15" xfId="0" applyNumberFormat="1" applyFont="1" applyFill="1" applyBorder="1" applyAlignment="1">
      <alignment horizontal="center" vertical="top" wrapText="1"/>
    </xf>
    <xf numFmtId="3" fontId="6" fillId="6" borderId="20" xfId="0" applyNumberFormat="1" applyFont="1" applyFill="1" applyBorder="1" applyAlignment="1">
      <alignment horizontal="center" vertical="top" wrapText="1"/>
    </xf>
    <xf numFmtId="0" fontId="6" fillId="7" borderId="15" xfId="0" applyFont="1" applyFill="1" applyBorder="1" applyAlignment="1">
      <alignment horizontal="center" vertical="top" wrapText="1"/>
    </xf>
    <xf numFmtId="0" fontId="6" fillId="7" borderId="15" xfId="0" applyFont="1" applyFill="1" applyBorder="1" applyAlignment="1">
      <alignment horizontal="left" vertical="top" wrapText="1"/>
    </xf>
    <xf numFmtId="0" fontId="18" fillId="10" borderId="26" xfId="0" applyFont="1" applyFill="1" applyBorder="1" applyAlignment="1">
      <alignment horizontal="center" vertical="top" wrapText="1"/>
    </xf>
    <xf numFmtId="0" fontId="18" fillId="10" borderId="27" xfId="0" applyFont="1" applyFill="1" applyBorder="1" applyAlignment="1">
      <alignment horizontal="center" vertical="top" wrapText="1"/>
    </xf>
    <xf numFmtId="0" fontId="18" fillId="10" borderId="28" xfId="0" applyFont="1" applyFill="1" applyBorder="1" applyAlignment="1">
      <alignment horizontal="center" vertical="top" wrapText="1"/>
    </xf>
    <xf numFmtId="0" fontId="6" fillId="7" borderId="1" xfId="0" applyFont="1" applyFill="1" applyBorder="1" applyAlignment="1">
      <alignment horizontal="center" vertical="top" wrapText="1"/>
    </xf>
    <xf numFmtId="0" fontId="18" fillId="10" borderId="1" xfId="0" applyFont="1" applyFill="1" applyBorder="1" applyAlignment="1">
      <alignment horizontal="center" vertical="top" wrapText="1"/>
    </xf>
    <xf numFmtId="4" fontId="6" fillId="7" borderId="1" xfId="0" applyNumberFormat="1" applyFont="1" applyFill="1" applyBorder="1" applyAlignment="1">
      <alignment horizontal="center" vertical="top" wrapText="1"/>
    </xf>
    <xf numFmtId="0" fontId="6" fillId="7" borderId="1" xfId="0" applyFont="1" applyFill="1" applyBorder="1" applyAlignment="1">
      <alignment horizontal="left" vertical="top" wrapText="1"/>
    </xf>
    <xf numFmtId="0" fontId="6" fillId="7" borderId="22" xfId="0" applyFont="1" applyFill="1" applyBorder="1" applyAlignment="1">
      <alignment horizontal="center" vertical="top" wrapText="1"/>
    </xf>
    <xf numFmtId="0" fontId="19" fillId="10" borderId="1" xfId="0" applyFont="1" applyFill="1" applyBorder="1" applyAlignment="1">
      <alignment horizontal="center" vertical="top" wrapText="1"/>
    </xf>
    <xf numFmtId="0" fontId="19" fillId="10" borderId="23" xfId="0" applyFont="1" applyFill="1" applyBorder="1" applyAlignment="1">
      <alignment horizontal="center" vertical="top" wrapText="1"/>
    </xf>
    <xf numFmtId="4" fontId="6" fillId="7" borderId="1" xfId="0" applyNumberFormat="1" applyFont="1" applyFill="1" applyBorder="1" applyAlignment="1">
      <alignment horizontal="center" vertical="center" wrapText="1"/>
    </xf>
    <xf numFmtId="0" fontId="18" fillId="10" borderId="5" xfId="0" applyFont="1" applyFill="1" applyBorder="1" applyAlignment="1">
      <alignment horizontal="center" vertical="top" wrapText="1"/>
    </xf>
    <xf numFmtId="0" fontId="32" fillId="10" borderId="29" xfId="0" applyFont="1" applyFill="1" applyBorder="1" applyAlignment="1">
      <alignment horizontal="center" vertical="top" wrapText="1"/>
    </xf>
    <xf numFmtId="0" fontId="32" fillId="10" borderId="30" xfId="0" applyFont="1" applyFill="1" applyBorder="1" applyAlignment="1">
      <alignment horizontal="center" vertical="top" wrapText="1"/>
    </xf>
    <xf numFmtId="4" fontId="6" fillId="7" borderId="23" xfId="0" applyNumberFormat="1" applyFont="1" applyFill="1" applyBorder="1" applyAlignment="1">
      <alignment horizontal="left" vertical="top" wrapText="1"/>
    </xf>
    <xf numFmtId="4" fontId="6" fillId="7" borderId="20" xfId="0" applyNumberFormat="1" applyFont="1" applyFill="1" applyBorder="1" applyAlignment="1">
      <alignment horizontal="left" vertical="top" wrapText="1"/>
    </xf>
    <xf numFmtId="4" fontId="6" fillId="7" borderId="24" xfId="0" applyNumberFormat="1" applyFont="1" applyFill="1" applyBorder="1" applyAlignment="1">
      <alignment horizontal="left" vertical="top" wrapText="1"/>
    </xf>
    <xf numFmtId="0" fontId="15" fillId="7" borderId="23" xfId="0" applyFont="1" applyFill="1" applyBorder="1" applyAlignment="1">
      <alignment horizontal="center" vertical="top" wrapText="1"/>
    </xf>
    <xf numFmtId="0" fontId="31" fillId="0" borderId="48" xfId="0" applyFont="1" applyBorder="1" applyAlignment="1">
      <alignment horizontal="center"/>
    </xf>
    <xf numFmtId="0" fontId="31" fillId="0" borderId="49" xfId="0" applyFont="1" applyBorder="1" applyAlignment="1">
      <alignment horizontal="center"/>
    </xf>
    <xf numFmtId="0" fontId="31" fillId="0" borderId="50" xfId="0" applyFont="1" applyBorder="1" applyAlignment="1">
      <alignment horizontal="center"/>
    </xf>
  </cellXfs>
  <cellStyles count="184">
    <cellStyle name="Accent3 2" xfId="1"/>
    <cellStyle name="Accent3 3" xfId="2"/>
    <cellStyle name="Comma" xfId="3" builtinId="3"/>
    <cellStyle name="Comma 123 3" xfId="4"/>
    <cellStyle name="Comma 2" xfId="5"/>
    <cellStyle name="Comma 2 10" xfId="6"/>
    <cellStyle name="Comma 2 11" xfId="7"/>
    <cellStyle name="Comma 2 12" xfId="8"/>
    <cellStyle name="Comma 2 13" xfId="9"/>
    <cellStyle name="Comma 2 14" xfId="10"/>
    <cellStyle name="Comma 2 15" xfId="11"/>
    <cellStyle name="Comma 2 16" xfId="12"/>
    <cellStyle name="Comma 2 17" xfId="13"/>
    <cellStyle name="Comma 2 18" xfId="14"/>
    <cellStyle name="Comma 2 19" xfId="15"/>
    <cellStyle name="Comma 2 2" xfId="16"/>
    <cellStyle name="Comma 2 20" xfId="17"/>
    <cellStyle name="Comma 2 21" xfId="18"/>
    <cellStyle name="Comma 2 22" xfId="19"/>
    <cellStyle name="Comma 2 23" xfId="20"/>
    <cellStyle name="Comma 2 24" xfId="21"/>
    <cellStyle name="Comma 2 25" xfId="22"/>
    <cellStyle name="Comma 2 26" xfId="23"/>
    <cellStyle name="Comma 2 27" xfId="24"/>
    <cellStyle name="Comma 2 28" xfId="25"/>
    <cellStyle name="Comma 2 29" xfId="26"/>
    <cellStyle name="Comma 2 3" xfId="27"/>
    <cellStyle name="Comma 2 30" xfId="28"/>
    <cellStyle name="Comma 2 31" xfId="29"/>
    <cellStyle name="Comma 2 32" xfId="30"/>
    <cellStyle name="Comma 2 33" xfId="31"/>
    <cellStyle name="Comma 2 34" xfId="32"/>
    <cellStyle name="Comma 2 35" xfId="33"/>
    <cellStyle name="Comma 2 36" xfId="34"/>
    <cellStyle name="Comma 2 37" xfId="35"/>
    <cellStyle name="Comma 2 38" xfId="36"/>
    <cellStyle name="Comma 2 39" xfId="37"/>
    <cellStyle name="Comma 2 4" xfId="38"/>
    <cellStyle name="Comma 2 5" xfId="39"/>
    <cellStyle name="Comma 2 6" xfId="40"/>
    <cellStyle name="Comma 2 7" xfId="41"/>
    <cellStyle name="Comma 2 8" xfId="42"/>
    <cellStyle name="Comma 2 9" xfId="43"/>
    <cellStyle name="Comma 25" xfId="44"/>
    <cellStyle name="Comma 3" xfId="45"/>
    <cellStyle name="Comma 3 2" xfId="46"/>
    <cellStyle name="Comma 8" xfId="47"/>
    <cellStyle name="Currency" xfId="182" builtinId="4"/>
    <cellStyle name="Currency 2" xfId="48"/>
    <cellStyle name="Currency 2 2" xfId="49"/>
    <cellStyle name="Normal" xfId="0" builtinId="0"/>
    <cellStyle name="Normal 10" xfId="50"/>
    <cellStyle name="Normal 11" xfId="51"/>
    <cellStyle name="Normal 12" xfId="52"/>
    <cellStyle name="Normal 13" xfId="53"/>
    <cellStyle name="Normal 14" xfId="54"/>
    <cellStyle name="Normal 15" xfId="55"/>
    <cellStyle name="Normal 16" xfId="56"/>
    <cellStyle name="Normal 17" xfId="57"/>
    <cellStyle name="Normal 18" xfId="58"/>
    <cellStyle name="Normal 19" xfId="59"/>
    <cellStyle name="Normal 2" xfId="60"/>
    <cellStyle name="Normal 2 10" xfId="61"/>
    <cellStyle name="Normal 2 11" xfId="62"/>
    <cellStyle name="Normal 2 12" xfId="63"/>
    <cellStyle name="Normal 2 13" xfId="64"/>
    <cellStyle name="Normal 2 14" xfId="65"/>
    <cellStyle name="Normal 2 15" xfId="66"/>
    <cellStyle name="Normal 2 16" xfId="67"/>
    <cellStyle name="Normal 2 17" xfId="68"/>
    <cellStyle name="Normal 2 18" xfId="69"/>
    <cellStyle name="Normal 2 19" xfId="70"/>
    <cellStyle name="Normal 2 2" xfId="71"/>
    <cellStyle name="Normal 2 20" xfId="72"/>
    <cellStyle name="Normal 2 21" xfId="73"/>
    <cellStyle name="Normal 2 22" xfId="74"/>
    <cellStyle name="Normal 2 23" xfId="75"/>
    <cellStyle name="Normal 2 24" xfId="76"/>
    <cellStyle name="Normal 2 25" xfId="77"/>
    <cellStyle name="Normal 2 26" xfId="78"/>
    <cellStyle name="Normal 2 27" xfId="79"/>
    <cellStyle name="Normal 2 28" xfId="80"/>
    <cellStyle name="Normal 2 29" xfId="81"/>
    <cellStyle name="Normal 2 3" xfId="82"/>
    <cellStyle name="Normal 2 30" xfId="83"/>
    <cellStyle name="Normal 2 4" xfId="84"/>
    <cellStyle name="Normal 2 5" xfId="85"/>
    <cellStyle name="Normal 2 6" xfId="86"/>
    <cellStyle name="Normal 2 7" xfId="87"/>
    <cellStyle name="Normal 2 8" xfId="88"/>
    <cellStyle name="Normal 2 9" xfId="89"/>
    <cellStyle name="Normal 20" xfId="90"/>
    <cellStyle name="Normal 21" xfId="91"/>
    <cellStyle name="Normal 22" xfId="92"/>
    <cellStyle name="Normal 23" xfId="93"/>
    <cellStyle name="Normal 24" xfId="94"/>
    <cellStyle name="Normal 25" xfId="95"/>
    <cellStyle name="Normal 26" xfId="96"/>
    <cellStyle name="Normal 27" xfId="97"/>
    <cellStyle name="Normal 28" xfId="98"/>
    <cellStyle name="Normal 29" xfId="99"/>
    <cellStyle name="Normal 3" xfId="100"/>
    <cellStyle name="Normal 30" xfId="101"/>
    <cellStyle name="Normal 31" xfId="102"/>
    <cellStyle name="Normal 32" xfId="103"/>
    <cellStyle name="Normal 33" xfId="104"/>
    <cellStyle name="Normal 34" xfId="105"/>
    <cellStyle name="Normal 35" xfId="106"/>
    <cellStyle name="Normal 36" xfId="107"/>
    <cellStyle name="Normal 37" xfId="108"/>
    <cellStyle name="Normal 38" xfId="109"/>
    <cellStyle name="Normal 39" xfId="110"/>
    <cellStyle name="Normal 4" xfId="111"/>
    <cellStyle name="Normal 42" xfId="112"/>
    <cellStyle name="Normal 44" xfId="113"/>
    <cellStyle name="Normal 45" xfId="114"/>
    <cellStyle name="Normal 46" xfId="115"/>
    <cellStyle name="Normal 49" xfId="116"/>
    <cellStyle name="Normal 5" xfId="117"/>
    <cellStyle name="Normal 50" xfId="118"/>
    <cellStyle name="Normal 51" xfId="119"/>
    <cellStyle name="Normal 52" xfId="120"/>
    <cellStyle name="Normal 53" xfId="121"/>
    <cellStyle name="Normal 54" xfId="122"/>
    <cellStyle name="Normal 55" xfId="123"/>
    <cellStyle name="Normal 57" xfId="124"/>
    <cellStyle name="Normal 58" xfId="125"/>
    <cellStyle name="Normal 59" xfId="126"/>
    <cellStyle name="Normal 6" xfId="127"/>
    <cellStyle name="Normal 60" xfId="128"/>
    <cellStyle name="Normal 62" xfId="129"/>
    <cellStyle name="Normal 63" xfId="130"/>
    <cellStyle name="Normal 64" xfId="131"/>
    <cellStyle name="Normal 65" xfId="132"/>
    <cellStyle name="Normal 66" xfId="133"/>
    <cellStyle name="Normal 68" xfId="134"/>
    <cellStyle name="Normal 7" xfId="135"/>
    <cellStyle name="Normal 72" xfId="136"/>
    <cellStyle name="Normal 73" xfId="137"/>
    <cellStyle name="Normal 74" xfId="138"/>
    <cellStyle name="Normal 76" xfId="139"/>
    <cellStyle name="Normal 79" xfId="140"/>
    <cellStyle name="Normal 8" xfId="141"/>
    <cellStyle name="Normal 80" xfId="142"/>
    <cellStyle name="Normal 81" xfId="143"/>
    <cellStyle name="Normal 82" xfId="144"/>
    <cellStyle name="Normal 83" xfId="145"/>
    <cellStyle name="Normal 84" xfId="146"/>
    <cellStyle name="Normal 85" xfId="147"/>
    <cellStyle name="Normal 86" xfId="148"/>
    <cellStyle name="Normal 89" xfId="149"/>
    <cellStyle name="Normal 9" xfId="150"/>
    <cellStyle name="Normal 90" xfId="151"/>
    <cellStyle name="Normal 94" xfId="152"/>
    <cellStyle name="Percent" xfId="183" builtinId="5"/>
    <cellStyle name="Percent 10" xfId="153"/>
    <cellStyle name="Percent 11" xfId="154"/>
    <cellStyle name="Percent 12" xfId="155"/>
    <cellStyle name="Percent 13" xfId="156"/>
    <cellStyle name="Percent 14" xfId="157"/>
    <cellStyle name="Percent 15" xfId="158"/>
    <cellStyle name="Percent 16" xfId="159"/>
    <cellStyle name="Percent 17" xfId="160"/>
    <cellStyle name="Percent 18" xfId="161"/>
    <cellStyle name="Percent 19" xfId="162"/>
    <cellStyle name="Percent 2" xfId="163"/>
    <cellStyle name="Percent 20" xfId="164"/>
    <cellStyle name="Percent 21" xfId="165"/>
    <cellStyle name="Percent 22" xfId="166"/>
    <cellStyle name="Percent 23" xfId="167"/>
    <cellStyle name="Percent 24" xfId="168"/>
    <cellStyle name="Percent 25" xfId="169"/>
    <cellStyle name="Percent 26" xfId="170"/>
    <cellStyle name="Percent 27" xfId="171"/>
    <cellStyle name="Percent 28" xfId="172"/>
    <cellStyle name="Percent 29" xfId="173"/>
    <cellStyle name="Percent 3" xfId="174"/>
    <cellStyle name="Percent 30" xfId="175"/>
    <cellStyle name="Percent 4" xfId="176"/>
    <cellStyle name="Percent 5" xfId="177"/>
    <cellStyle name="Percent 6" xfId="178"/>
    <cellStyle name="Percent 7" xfId="179"/>
    <cellStyle name="Percent 8" xfId="180"/>
    <cellStyle name="Percent 9" xfId="18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34"/>
    </mc:Choice>
    <mc:Fallback>
      <c:style val="34"/>
    </mc:Fallback>
  </mc:AlternateContent>
  <c:chart>
    <c:title>
      <c:layout/>
      <c:overlay val="0"/>
    </c:title>
    <c:autoTitleDeleted val="0"/>
    <c:plotArea>
      <c:layout>
        <c:manualLayout>
          <c:layoutTarget val="inner"/>
          <c:xMode val="edge"/>
          <c:yMode val="edge"/>
          <c:x val="0.20727575411894772"/>
          <c:y val="0.10839174924208031"/>
          <c:w val="0.55287160125661761"/>
          <c:h val="0.62981209853738462"/>
        </c:manualLayout>
      </c:layout>
      <c:doughnutChart>
        <c:varyColors val="1"/>
        <c:ser>
          <c:idx val="0"/>
          <c:order val="0"/>
          <c:tx>
            <c:strRef>
              <c:f>'SDBIP summary'!$B$3</c:f>
              <c:strCache>
                <c:ptCount val="1"/>
                <c:pt idx="0">
                  <c:v>% Target achieved</c:v>
                </c:pt>
              </c:strCache>
            </c:strRef>
          </c:tx>
          <c:spPr>
            <a:ln>
              <a:solidFill>
                <a:srgbClr val="C00000"/>
              </a:solidFill>
            </a:ln>
            <a:scene3d>
              <a:camera prst="orthographicFront"/>
              <a:lightRig rig="threePt" dir="t"/>
            </a:scene3d>
            <a:sp3d prstMaterial="matte">
              <a:bevelT w="63500" h="63500" prst="artDeco"/>
              <a:contourClr>
                <a:srgbClr val="000000"/>
              </a:contourClr>
            </a:sp3d>
          </c:spPr>
          <c:dLbls>
            <c:showLegendKey val="0"/>
            <c:showVal val="0"/>
            <c:showCatName val="0"/>
            <c:showSerName val="0"/>
            <c:showPercent val="1"/>
            <c:showBubbleSize val="0"/>
            <c:showLeaderLines val="1"/>
          </c:dLbls>
          <c:cat>
            <c:strRef>
              <c:f>'SDBIP summary'!$A$4:$A$8</c:f>
              <c:strCache>
                <c:ptCount val="5"/>
                <c:pt idx="0">
                  <c:v>Municipal Transformation and Organisational Development</c:v>
                </c:pt>
                <c:pt idx="1">
                  <c:v>Basic ServiceDelivery</c:v>
                </c:pt>
                <c:pt idx="2">
                  <c:v>Local Economic Development</c:v>
                </c:pt>
                <c:pt idx="3">
                  <c:v>Municipal Finance Management Viability</c:v>
                </c:pt>
                <c:pt idx="4">
                  <c:v>Good Governance and Public Participation</c:v>
                </c:pt>
              </c:strCache>
            </c:strRef>
          </c:cat>
          <c:val>
            <c:numRef>
              <c:f>'SDBIP summary'!$B$4:$B$8</c:f>
              <c:numCache>
                <c:formatCode>0.00%</c:formatCode>
                <c:ptCount val="5"/>
                <c:pt idx="0">
                  <c:v>0.4476</c:v>
                </c:pt>
                <c:pt idx="1">
                  <c:v>1.15E-2</c:v>
                </c:pt>
                <c:pt idx="2">
                  <c:v>0.28570000000000001</c:v>
                </c:pt>
                <c:pt idx="3">
                  <c:v>0.3125</c:v>
                </c:pt>
                <c:pt idx="4">
                  <c:v>0.46510000000000001</c:v>
                </c:pt>
              </c:numCache>
            </c:numRef>
          </c:val>
        </c:ser>
        <c:dLbls>
          <c:showLegendKey val="0"/>
          <c:showVal val="0"/>
          <c:showCatName val="0"/>
          <c:showSerName val="0"/>
          <c:showPercent val="1"/>
          <c:showBubbleSize val="0"/>
          <c:showLeaderLines val="1"/>
        </c:dLbls>
        <c:firstSliceAng val="0"/>
        <c:holeSize val="50"/>
      </c:doughnutChart>
    </c:plotArea>
    <c:legend>
      <c:legendPos val="b"/>
      <c:layout>
        <c:manualLayout>
          <c:xMode val="edge"/>
          <c:yMode val="edge"/>
          <c:x val="0.13613057653358684"/>
          <c:y val="0.73676516412292137"/>
          <c:w val="0.7556618697627957"/>
          <c:h val="0.23997901482604372"/>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111125</xdr:colOff>
      <xdr:row>0</xdr:row>
      <xdr:rowOff>0</xdr:rowOff>
    </xdr:from>
    <xdr:to>
      <xdr:col>10</xdr:col>
      <xdr:colOff>619123</xdr:colOff>
      <xdr:row>47</xdr:row>
      <xdr:rowOff>0</xdr:rowOff>
    </xdr:to>
    <xdr:grpSp>
      <xdr:nvGrpSpPr>
        <xdr:cNvPr id="48198" name="Group 11"/>
        <xdr:cNvGrpSpPr>
          <a:grpSpLocks/>
        </xdr:cNvGrpSpPr>
      </xdr:nvGrpSpPr>
      <xdr:grpSpPr bwMode="auto">
        <a:xfrm>
          <a:off x="111125" y="0"/>
          <a:ext cx="6588123" cy="10287000"/>
          <a:chOff x="61098" y="0"/>
          <a:chExt cx="8452018" cy="6591672"/>
        </a:xfrm>
      </xdr:grpSpPr>
      <xdr:sp macro="" textlink="">
        <xdr:nvSpPr>
          <xdr:cNvPr id="13" name="Rectangle 12"/>
          <xdr:cNvSpPr/>
        </xdr:nvSpPr>
        <xdr:spPr>
          <a:xfrm>
            <a:off x="61098" y="0"/>
            <a:ext cx="8452018"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pic>
        <xdr:nvPicPr>
          <xdr:cNvPr id="48200" name="Picture 13" descr="Greater Letaba Logo"/>
          <xdr:cNvPicPr>
            <a:picLocks noChangeAspect="1" noChangeArrowheads="1"/>
          </xdr:cNvPicPr>
        </xdr:nvPicPr>
        <xdr:blipFill>
          <a:blip xmlns:r="http://schemas.openxmlformats.org/officeDocument/2006/relationships" r:embed="rId1"/>
          <a:srcRect/>
          <a:stretch>
            <a:fillRect/>
          </a:stretch>
        </xdr:blipFill>
        <xdr:spPr bwMode="auto">
          <a:xfrm>
            <a:off x="3391746" y="1524575"/>
            <a:ext cx="1923863" cy="1415230"/>
          </a:xfrm>
          <a:prstGeom prst="rect">
            <a:avLst/>
          </a:prstGeom>
          <a:noFill/>
          <a:ln w="9525">
            <a:noFill/>
            <a:miter lim="800000"/>
            <a:headEnd/>
            <a:tailEnd/>
          </a:ln>
        </xdr:spPr>
      </xdr:pic>
      <xdr:sp macro="" textlink="">
        <xdr:nvSpPr>
          <xdr:cNvPr id="15" name="TextBox 4"/>
          <xdr:cNvSpPr txBox="1">
            <a:spLocks noChangeArrowheads="1"/>
          </xdr:cNvSpPr>
        </xdr:nvSpPr>
        <xdr:spPr bwMode="auto">
          <a:xfrm>
            <a:off x="178879" y="340376"/>
            <a:ext cx="7990061" cy="1095845"/>
          </a:xfrm>
          <a:prstGeom prst="rect">
            <a:avLst/>
          </a:prstGeom>
          <a:solidFill>
            <a:schemeClr val="accent3">
              <a:lumMod val="60000"/>
              <a:lumOff val="40000"/>
            </a:schemeClr>
          </a:solidFill>
          <a:ln w="9525">
            <a:noFill/>
            <a:miter lim="800000"/>
            <a:headEnd/>
            <a:tailEnd/>
          </a:ln>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2800" b="1">
                <a:latin typeface="Bell MT" pitchFamily="18" charset="0"/>
              </a:rPr>
              <a:t>GREATER LETABA MUNICIPALITY</a:t>
            </a:r>
          </a:p>
          <a:p>
            <a:pPr algn="ctr" fontAlgn="auto">
              <a:lnSpc>
                <a:spcPts val="3000"/>
              </a:lnSpc>
              <a:spcBef>
                <a:spcPts val="0"/>
              </a:spcBef>
              <a:spcAft>
                <a:spcPts val="0"/>
              </a:spcAft>
              <a:defRPr/>
            </a:pPr>
            <a:endParaRPr lang="en-ZA" sz="2800" b="1">
              <a:latin typeface="Bell MT" pitchFamily="18" charset="0"/>
            </a:endParaRPr>
          </a:p>
        </xdr:txBody>
      </xdr:sp>
      <xdr:pic>
        <xdr:nvPicPr>
          <xdr:cNvPr id="48202" name="Picture 15"/>
          <xdr:cNvPicPr>
            <a:picLocks noChangeAspect="1" noChangeArrowheads="1"/>
          </xdr:cNvPicPr>
        </xdr:nvPicPr>
        <xdr:blipFill>
          <a:blip xmlns:r="http://schemas.openxmlformats.org/officeDocument/2006/relationships" r:embed="rId2">
            <a:lum bright="24000" contrast="20000"/>
          </a:blip>
          <a:srcRect/>
          <a:stretch>
            <a:fillRect/>
          </a:stretch>
        </xdr:blipFill>
        <xdr:spPr bwMode="auto">
          <a:xfrm>
            <a:off x="6557955" y="4435137"/>
            <a:ext cx="1873701" cy="1495334"/>
          </a:xfrm>
          <a:prstGeom prst="rect">
            <a:avLst/>
          </a:prstGeom>
          <a:noFill/>
          <a:ln w="9525">
            <a:noFill/>
            <a:miter lim="800000"/>
            <a:headEnd/>
            <a:tailEnd/>
          </a:ln>
        </xdr:spPr>
      </xdr:pic>
      <xdr:pic>
        <xdr:nvPicPr>
          <xdr:cNvPr id="48203" name="Picture 16" descr="family"/>
          <xdr:cNvPicPr>
            <a:picLocks noChangeAspect="1" noChangeArrowheads="1"/>
          </xdr:cNvPicPr>
        </xdr:nvPicPr>
        <xdr:blipFill>
          <a:blip xmlns:r="http://schemas.openxmlformats.org/officeDocument/2006/relationships" r:embed="rId3"/>
          <a:srcRect/>
          <a:stretch>
            <a:fillRect/>
          </a:stretch>
        </xdr:blipFill>
        <xdr:spPr bwMode="auto">
          <a:xfrm>
            <a:off x="107569" y="3051700"/>
            <a:ext cx="1908697" cy="1505505"/>
          </a:xfrm>
          <a:prstGeom prst="rect">
            <a:avLst/>
          </a:prstGeom>
          <a:noFill/>
          <a:ln w="9525">
            <a:noFill/>
            <a:miter lim="800000"/>
            <a:headEnd/>
            <a:tailEnd/>
          </a:ln>
        </xdr:spPr>
      </xdr:pic>
      <xdr:pic>
        <xdr:nvPicPr>
          <xdr:cNvPr id="48204" name="Picture 17" descr="ENCEPHALARTOS_TRANSVENOSUS5_FCONE-01262005"/>
          <xdr:cNvPicPr>
            <a:picLocks noChangeAspect="1" noChangeArrowheads="1"/>
          </xdr:cNvPicPr>
        </xdr:nvPicPr>
        <xdr:blipFill>
          <a:blip xmlns:r="http://schemas.openxmlformats.org/officeDocument/2006/relationships" r:embed="rId4">
            <a:lum bright="34000" contrast="32000"/>
          </a:blip>
          <a:srcRect/>
          <a:stretch>
            <a:fillRect/>
          </a:stretch>
        </xdr:blipFill>
        <xdr:spPr bwMode="auto">
          <a:xfrm>
            <a:off x="89920" y="4533676"/>
            <a:ext cx="1926346" cy="1357885"/>
          </a:xfrm>
          <a:prstGeom prst="rect">
            <a:avLst/>
          </a:prstGeom>
          <a:noFill/>
          <a:ln w="9525">
            <a:noFill/>
            <a:miter lim="800000"/>
            <a:headEnd/>
            <a:tailEnd/>
          </a:ln>
        </xdr:spPr>
      </xdr:pic>
      <xdr:sp macro="" textlink="">
        <xdr:nvSpPr>
          <xdr:cNvPr id="19" name="TextBox 10"/>
          <xdr:cNvSpPr txBox="1"/>
        </xdr:nvSpPr>
        <xdr:spPr>
          <a:xfrm>
            <a:off x="2014739" y="3038479"/>
            <a:ext cx="4536587" cy="2891991"/>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800"/>
              </a:lnSpc>
              <a:defRPr/>
            </a:pPr>
            <a:endParaRPr lang="en-GB" sz="2400" b="1">
              <a:latin typeface="Calibri" pitchFamily="34" charset="0"/>
              <a:cs typeface="Arial" pitchFamily="34" charset="0"/>
            </a:endParaRPr>
          </a:p>
          <a:p>
            <a:pPr algn="ctr">
              <a:lnSpc>
                <a:spcPts val="2500"/>
              </a:lnSpc>
              <a:defRPr/>
            </a:pPr>
            <a:r>
              <a:rPr lang="en-GB" sz="2400" b="1" i="0">
                <a:latin typeface="Bell MT" pitchFamily="18" charset="0"/>
                <a:cs typeface="Arial" pitchFamily="34" charset="0"/>
              </a:rPr>
              <a:t>  SDBIP MID-YEAR</a:t>
            </a:r>
            <a:r>
              <a:rPr lang="en-GB" sz="2400" b="1" i="0" baseline="0">
                <a:latin typeface="Bell MT" pitchFamily="18" charset="0"/>
                <a:cs typeface="Arial" pitchFamily="34" charset="0"/>
              </a:rPr>
              <a:t> BUDGET &amp;</a:t>
            </a:r>
          </a:p>
          <a:p>
            <a:pPr algn="ctr">
              <a:lnSpc>
                <a:spcPts val="2500"/>
              </a:lnSpc>
              <a:defRPr/>
            </a:pPr>
            <a:r>
              <a:rPr lang="en-GB" sz="2400" b="1" i="0" baseline="0">
                <a:latin typeface="Bell MT" pitchFamily="18" charset="0"/>
                <a:cs typeface="Arial" pitchFamily="34" charset="0"/>
              </a:rPr>
              <a:t>PERFORMANCE REPORT </a:t>
            </a:r>
            <a:endParaRPr lang="en-GB" sz="2400" b="1" i="0">
              <a:latin typeface="Bell MT" pitchFamily="18" charset="0"/>
              <a:cs typeface="Arial" pitchFamily="34" charset="0"/>
            </a:endParaRPr>
          </a:p>
          <a:p>
            <a:pPr algn="ctr">
              <a:lnSpc>
                <a:spcPts val="2600"/>
              </a:lnSpc>
              <a:defRPr/>
            </a:pPr>
            <a:endParaRPr lang="en-GB" sz="2400" b="1" i="1">
              <a:latin typeface="Bell MT" pitchFamily="18" charset="0"/>
              <a:cs typeface="Arial" pitchFamily="34" charset="0"/>
            </a:endParaRPr>
          </a:p>
          <a:p>
            <a:pPr algn="ctr">
              <a:lnSpc>
                <a:spcPts val="2600"/>
              </a:lnSpc>
              <a:defRPr/>
            </a:pPr>
            <a:r>
              <a:rPr lang="en-GB" sz="2400" b="1">
                <a:latin typeface="Bell MT" pitchFamily="18" charset="0"/>
                <a:cs typeface="Arial" pitchFamily="34" charset="0"/>
              </a:rPr>
              <a:t>2014/2015</a:t>
            </a:r>
          </a:p>
          <a:p>
            <a:pPr algn="ctr">
              <a:lnSpc>
                <a:spcPts val="2600"/>
              </a:lnSpc>
              <a:defRPr/>
            </a:pPr>
            <a:r>
              <a:rPr lang="en-GB" sz="2400" b="1">
                <a:latin typeface="Bell MT" pitchFamily="18" charset="0"/>
                <a:cs typeface="Arial" pitchFamily="34" charset="0"/>
              </a:rPr>
              <a:t>MFMA Section 72</a:t>
            </a:r>
          </a:p>
          <a:p>
            <a:pPr algn="ctr">
              <a:lnSpc>
                <a:spcPts val="2600"/>
              </a:lnSpc>
              <a:defRPr/>
            </a:pPr>
            <a:endParaRPr lang="en-GB" sz="2400" b="1">
              <a:latin typeface="Bell MT" pitchFamily="18" charset="0"/>
              <a:cs typeface="Arial" pitchFamily="34" charset="0"/>
            </a:endParaRPr>
          </a:p>
          <a:p>
            <a:pPr algn="ctr">
              <a:lnSpc>
                <a:spcPts val="2600"/>
              </a:lnSpc>
              <a:defRPr/>
            </a:pPr>
            <a:endParaRPr lang="en-ZA" sz="2400" b="1">
              <a:latin typeface="Calibri" pitchFamily="34" charset="0"/>
              <a:cs typeface="Arial" pitchFamily="34" charset="0"/>
            </a:endParaRPr>
          </a:p>
        </xdr:txBody>
      </xdr:sp>
      <xdr:pic>
        <xdr:nvPicPr>
          <xdr:cNvPr id="48206" name="Picture 19" descr="ENCEPHALARTOS_TRANSVENOSUS5_FCONE-01262005"/>
          <xdr:cNvPicPr>
            <a:picLocks noChangeAspect="1" noChangeArrowheads="1"/>
          </xdr:cNvPicPr>
        </xdr:nvPicPr>
        <xdr:blipFill>
          <a:blip xmlns:r="http://schemas.openxmlformats.org/officeDocument/2006/relationships" r:embed="rId5">
            <a:lum bright="34000" contrast="32000"/>
          </a:blip>
          <a:srcRect/>
          <a:stretch>
            <a:fillRect/>
          </a:stretch>
        </xdr:blipFill>
        <xdr:spPr bwMode="auto">
          <a:xfrm>
            <a:off x="6578320" y="3056804"/>
            <a:ext cx="1894068" cy="1378334"/>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1</xdr:rowOff>
    </xdr:from>
    <xdr:to>
      <xdr:col>2</xdr:col>
      <xdr:colOff>15875</xdr:colOff>
      <xdr:row>2</xdr:row>
      <xdr:rowOff>5111750</xdr:rowOff>
    </xdr:to>
    <xdr:pic>
      <xdr:nvPicPr>
        <xdr:cNvPr id="2" name="Picture 2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6125" y="4413251"/>
          <a:ext cx="6842125" cy="5111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333374</xdr:colOff>
      <xdr:row>11</xdr:row>
      <xdr:rowOff>47624</xdr:rowOff>
    </xdr:from>
    <xdr:to>
      <xdr:col>3</xdr:col>
      <xdr:colOff>428625</xdr:colOff>
      <xdr:row>36</xdr:row>
      <xdr:rowOff>76199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1306285</xdr:colOff>
      <xdr:row>4</xdr:row>
      <xdr:rowOff>136071</xdr:rowOff>
    </xdr:from>
    <xdr:to>
      <xdr:col>1</xdr:col>
      <xdr:colOff>3873490</xdr:colOff>
      <xdr:row>16</xdr:row>
      <xdr:rowOff>54428</xdr:rowOff>
    </xdr:to>
    <xdr:pic>
      <xdr:nvPicPr>
        <xdr:cNvPr id="7" name="Picture 1" descr="Greater Letaba Logo"/>
        <xdr:cNvPicPr>
          <a:picLocks noChangeAspect="1" noChangeArrowheads="1"/>
        </xdr:cNvPicPr>
      </xdr:nvPicPr>
      <xdr:blipFill>
        <a:blip xmlns:r="http://schemas.openxmlformats.org/officeDocument/2006/relationships" r:embed="rId1"/>
        <a:srcRect/>
        <a:stretch>
          <a:fillRect/>
        </a:stretch>
      </xdr:blipFill>
      <xdr:spPr bwMode="auto">
        <a:xfrm>
          <a:off x="1918606" y="2245178"/>
          <a:ext cx="2567205" cy="220435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richards\AppData\Local\Microsoft\Windows\Temporary%20Internet%20Files\Content.Outlook\J672E4DA\B%20Schedule%20-%20Ver%202%204%20-%20Adjust%20Budget%202011-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J672E4DA\B%20Schedule%20-%20Ver%202%204%20-%20Adjust%20Budget%202011-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isa\AppData\Local\Microsoft\Windows\Temporary%20Internet%20Files\Content.Outlook\2TPQD5KT\A1%20Schedule%20Ba-Phalaborwa%20Municipality%202010_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GRACE\A1%20Schedule%20-%20Ver%202%203%20%20%20-%2002%20December%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TMYFK06N\All%20New%20Info%20%202013%202014\SDBIP\A1%20Schedule%20-%20Ver%202%203%20%20%20-%2002%20December%2020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berthal\Desktop\Draft%20APR%202013%202014\Copy%20of%20GLM%20Financial%20Report%20December%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01/02/2012</v>
          </cell>
        </row>
      </sheetData>
      <sheetData sheetId="2">
        <row r="5">
          <cell r="B5" t="str">
            <v>Budget Year 2011/12</v>
          </cell>
        </row>
        <row r="11">
          <cell r="B11" t="str">
            <v>Outcome</v>
          </cell>
        </row>
        <row r="14">
          <cell r="B14" t="str">
            <v>Adjusted Budget</v>
          </cell>
        </row>
        <row r="18">
          <cell r="B18" t="str">
            <v>Budget Year +2 2013/14</v>
          </cell>
        </row>
        <row r="21">
          <cell r="B21" t="str">
            <v>Ref</v>
          </cell>
        </row>
        <row r="22">
          <cell r="B22" t="str">
            <v>References</v>
          </cell>
        </row>
        <row r="90">
          <cell r="B90" t="str">
            <v>Supporting Table SB14 Adjustments Budget - monthly revenue and expenditure</v>
          </cell>
        </row>
      </sheetData>
      <sheetData sheetId="3"/>
      <sheetData sheetId="4"/>
      <sheetData sheetId="5"/>
      <sheetData sheetId="6"/>
      <sheetData sheetId="7"/>
      <sheetData sheetId="8"/>
      <sheetData sheetId="9"/>
      <sheetData sheetId="10"/>
      <sheetData sheetId="11">
        <row r="7">
          <cell r="K7">
            <v>6065000</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refreshError="1"/>
      <sheetData sheetId="1" refreshError="1"/>
      <sheetData sheetId="2" refreshError="1">
        <row r="15">
          <cell r="B15" t="str">
            <v>Budget Year 2010/11</v>
          </cell>
        </row>
        <row r="16">
          <cell r="B16" t="str">
            <v>Budget Year +1 2011/12</v>
          </cell>
        </row>
        <row r="17">
          <cell r="B17" t="str">
            <v>Budget Year +2 2012/13</v>
          </cell>
        </row>
        <row r="30">
          <cell r="B30" t="str">
            <v>Description</v>
          </cell>
        </row>
        <row r="33">
          <cell r="B33" t="str">
            <v>Ref</v>
          </cell>
        </row>
        <row r="93">
          <cell r="B93" t="str">
            <v>LIM334 Ba-Phalaborwa</v>
          </cell>
        </row>
        <row r="138">
          <cell r="B138" t="str">
            <v>Supporting Table SA28 Budgeted monthly capital expenditure (municipal vote)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 val="Sheet1"/>
    </sheetNames>
    <sheetDataSet>
      <sheetData sheetId="0"/>
      <sheetData sheetId="1"/>
      <sheetData sheetId="2">
        <row r="135">
          <cell r="B135" t="str">
            <v>Supporting Table SA25 Budgeted monthly revenue and expenditure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pital Projects"/>
      <sheetName val="Expenditure"/>
      <sheetName val="Income"/>
      <sheetName val="Salaries"/>
      <sheetName val="Overtime"/>
      <sheetName val="Cash Flow "/>
      <sheetName val="Bank"/>
      <sheetName val="Debtors"/>
      <sheetName val="FBE"/>
      <sheetName val="Grants"/>
      <sheetName val="Conclusion"/>
      <sheetName val="Sheet1"/>
    </sheetNames>
    <sheetDataSet>
      <sheetData sheetId="0"/>
      <sheetData sheetId="1"/>
      <sheetData sheetId="2"/>
      <sheetData sheetId="3">
        <row r="7">
          <cell r="D7">
            <v>3550239</v>
          </cell>
        </row>
        <row r="9">
          <cell r="D9">
            <v>3999875</v>
          </cell>
        </row>
        <row r="10">
          <cell r="D10">
            <v>616025</v>
          </cell>
        </row>
        <row r="21">
          <cell r="C21">
            <v>12719576</v>
          </cell>
        </row>
        <row r="30">
          <cell r="C30">
            <v>34020000</v>
          </cell>
        </row>
      </sheetData>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sheetPr>
  <dimension ref="Q35:Q47"/>
  <sheetViews>
    <sheetView tabSelected="1" view="pageBreakPreview" zoomScale="60" workbookViewId="0">
      <selection activeCell="M27" sqref="M27"/>
    </sheetView>
  </sheetViews>
  <sheetFormatPr defaultRowHeight="15" x14ac:dyDescent="0.25"/>
  <cols>
    <col min="1" max="1" width="8.28515625" style="1" customWidth="1"/>
    <col min="2" max="2" width="10.85546875" style="1" customWidth="1"/>
    <col min="3" max="3" width="5" style="1" customWidth="1"/>
    <col min="4" max="4" width="5.5703125" style="1" customWidth="1"/>
    <col min="5" max="5" width="8.42578125" style="1" customWidth="1"/>
    <col min="6" max="6" width="7.42578125" style="1" customWidth="1"/>
    <col min="7" max="7" width="9.28515625" style="1" customWidth="1"/>
    <col min="8" max="8" width="10.42578125" style="1" customWidth="1"/>
    <col min="9" max="9" width="13" style="1" customWidth="1"/>
    <col min="10" max="10" width="12.85546875" style="1" customWidth="1"/>
    <col min="11" max="11" width="14.5703125" style="1" customWidth="1"/>
    <col min="12" max="12" width="10" style="1" customWidth="1"/>
    <col min="13" max="16384" width="9.140625" style="1"/>
  </cols>
  <sheetData>
    <row r="35" spans="17:17" ht="17.25" x14ac:dyDescent="0.35">
      <c r="Q35" s="11"/>
    </row>
    <row r="47" spans="17:17" ht="117" customHeight="1" x14ac:dyDescent="0.25"/>
  </sheetData>
  <pageMargins left="0.70866141732283472" right="0.70866141732283472" top="0.74803149606299213" bottom="0.74803149606299213" header="0.31496062992125984" footer="0.31496062992125984"/>
  <pageSetup paperSize="9" scale="80" fitToHeight="0" orientation="portrait" r:id="rId1"/>
  <headerFooter>
    <oddFooter>&amp;L&amp;N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10"/>
  <sheetViews>
    <sheetView view="pageBreakPreview" zoomScaleSheetLayoutView="100" workbookViewId="0">
      <selection activeCell="L9" sqref="L9"/>
    </sheetView>
  </sheetViews>
  <sheetFormatPr defaultColWidth="13" defaultRowHeight="15" x14ac:dyDescent="0.25"/>
  <cols>
    <col min="1" max="1" width="7.28515625" style="25" customWidth="1"/>
    <col min="2" max="6" width="13" style="23"/>
    <col min="7" max="7" width="13" style="63"/>
    <col min="8" max="13" width="13" style="23"/>
  </cols>
  <sheetData>
    <row r="1" spans="1:13" ht="47.25" customHeight="1" thickTop="1" thickBot="1" x14ac:dyDescent="0.3">
      <c r="A1" s="545" t="s">
        <v>55</v>
      </c>
      <c r="B1" s="546"/>
      <c r="C1" s="546"/>
      <c r="D1" s="546"/>
      <c r="E1" s="546"/>
      <c r="F1" s="546"/>
      <c r="G1" s="546"/>
      <c r="H1" s="546"/>
      <c r="I1" s="546"/>
      <c r="J1" s="546"/>
      <c r="K1" s="546"/>
      <c r="L1" s="546"/>
      <c r="M1" s="547"/>
    </row>
    <row r="2" spans="1:13" s="12" customFormat="1" ht="51" customHeight="1" thickTop="1" thickBot="1" x14ac:dyDescent="0.3">
      <c r="A2" s="78" t="s">
        <v>2</v>
      </c>
      <c r="B2" s="79" t="s">
        <v>0</v>
      </c>
      <c r="C2" s="79" t="s">
        <v>68</v>
      </c>
      <c r="D2" s="79" t="s">
        <v>8</v>
      </c>
      <c r="E2" s="79" t="s">
        <v>21</v>
      </c>
      <c r="F2" s="79" t="s">
        <v>9</v>
      </c>
      <c r="G2" s="83" t="s">
        <v>117</v>
      </c>
      <c r="H2" s="79" t="s">
        <v>873</v>
      </c>
      <c r="I2" s="79" t="s">
        <v>874</v>
      </c>
      <c r="J2" s="79" t="s">
        <v>635</v>
      </c>
      <c r="K2" s="79" t="s">
        <v>636</v>
      </c>
      <c r="L2" s="79" t="s">
        <v>637</v>
      </c>
      <c r="M2" s="79" t="s">
        <v>10</v>
      </c>
    </row>
    <row r="3" spans="1:13" ht="87" customHeight="1" thickTop="1" thickBot="1" x14ac:dyDescent="0.3">
      <c r="A3" s="31">
        <v>50</v>
      </c>
      <c r="B3" s="6" t="s">
        <v>29</v>
      </c>
      <c r="C3" s="6" t="s">
        <v>41</v>
      </c>
      <c r="D3" s="6" t="s">
        <v>464</v>
      </c>
      <c r="E3" s="6" t="s">
        <v>339</v>
      </c>
      <c r="F3" s="6" t="s">
        <v>123</v>
      </c>
      <c r="G3" s="60" t="s">
        <v>11</v>
      </c>
      <c r="H3" s="4" t="s">
        <v>12</v>
      </c>
      <c r="I3" s="4" t="s">
        <v>12</v>
      </c>
      <c r="J3" s="4" t="s">
        <v>12</v>
      </c>
      <c r="K3" s="4" t="s">
        <v>12</v>
      </c>
      <c r="L3" s="204">
        <v>0</v>
      </c>
      <c r="M3" s="4" t="s">
        <v>59</v>
      </c>
    </row>
    <row r="4" spans="1:13" s="2" customFormat="1" ht="96.75" customHeight="1" thickTop="1" thickBot="1" x14ac:dyDescent="0.3">
      <c r="A4" s="56">
        <v>50</v>
      </c>
      <c r="B4" s="8" t="s">
        <v>29</v>
      </c>
      <c r="C4" s="8" t="s">
        <v>41</v>
      </c>
      <c r="D4" s="8" t="s">
        <v>462</v>
      </c>
      <c r="E4" s="57" t="s">
        <v>463</v>
      </c>
      <c r="F4" s="76">
        <v>0.25</v>
      </c>
      <c r="G4" s="61" t="s">
        <v>13</v>
      </c>
      <c r="H4" s="58" t="s">
        <v>798</v>
      </c>
      <c r="I4" s="58" t="s">
        <v>772</v>
      </c>
      <c r="J4" s="58" t="s">
        <v>771</v>
      </c>
      <c r="K4" s="58" t="s">
        <v>773</v>
      </c>
      <c r="L4" s="204">
        <v>0</v>
      </c>
      <c r="M4" s="59" t="s">
        <v>104</v>
      </c>
    </row>
    <row r="5" spans="1:13" s="2" customFormat="1" ht="71.25" customHeight="1" thickTop="1" thickBot="1" x14ac:dyDescent="0.3">
      <c r="A5" s="56">
        <v>50</v>
      </c>
      <c r="B5" s="8" t="s">
        <v>29</v>
      </c>
      <c r="C5" s="8" t="s">
        <v>84</v>
      </c>
      <c r="D5" s="8" t="s">
        <v>465</v>
      </c>
      <c r="E5" s="57" t="s">
        <v>466</v>
      </c>
      <c r="F5" s="76">
        <v>1</v>
      </c>
      <c r="G5" s="61" t="s">
        <v>13</v>
      </c>
      <c r="H5" s="58">
        <v>1</v>
      </c>
      <c r="I5" s="58" t="s">
        <v>774</v>
      </c>
      <c r="J5" s="58" t="s">
        <v>1</v>
      </c>
      <c r="K5" s="58" t="s">
        <v>1</v>
      </c>
      <c r="L5" s="204">
        <v>0</v>
      </c>
      <c r="M5" s="59" t="s">
        <v>59</v>
      </c>
    </row>
    <row r="6" spans="1:13" ht="56.25" customHeight="1" thickTop="1" thickBot="1" x14ac:dyDescent="0.3">
      <c r="A6" s="31">
        <v>50</v>
      </c>
      <c r="B6" s="6" t="s">
        <v>29</v>
      </c>
      <c r="C6" s="6" t="s">
        <v>42</v>
      </c>
      <c r="D6" s="6" t="s">
        <v>467</v>
      </c>
      <c r="E6" s="3" t="s">
        <v>15</v>
      </c>
      <c r="F6" s="76">
        <v>0.7</v>
      </c>
      <c r="G6" s="62" t="s">
        <v>13</v>
      </c>
      <c r="H6" s="5">
        <v>0.5</v>
      </c>
      <c r="I6" s="200" t="s">
        <v>819</v>
      </c>
      <c r="J6" s="6" t="s">
        <v>743</v>
      </c>
      <c r="K6" s="6" t="s">
        <v>860</v>
      </c>
      <c r="L6" s="5">
        <v>0.34</v>
      </c>
      <c r="M6" s="4" t="s">
        <v>105</v>
      </c>
    </row>
    <row r="7" spans="1:13" s="23" customFormat="1" ht="54.75" customHeight="1" thickTop="1" thickBot="1" x14ac:dyDescent="0.3">
      <c r="A7" s="31">
        <v>50</v>
      </c>
      <c r="B7" s="6" t="s">
        <v>29</v>
      </c>
      <c r="C7" s="6" t="s">
        <v>42</v>
      </c>
      <c r="D7" s="6" t="s">
        <v>467</v>
      </c>
      <c r="E7" s="6" t="s">
        <v>468</v>
      </c>
      <c r="F7" s="5">
        <v>0.7</v>
      </c>
      <c r="G7" s="62">
        <v>46950000</v>
      </c>
      <c r="H7" s="5">
        <v>0.5</v>
      </c>
      <c r="I7" s="200" t="s">
        <v>824</v>
      </c>
      <c r="J7" s="6" t="s">
        <v>743</v>
      </c>
      <c r="K7" s="6" t="s">
        <v>860</v>
      </c>
      <c r="L7" s="5">
        <v>0.16209999999999999</v>
      </c>
      <c r="M7" s="4" t="s">
        <v>105</v>
      </c>
    </row>
    <row r="8" spans="1:13" ht="54.75" customHeight="1" thickTop="1" thickBot="1" x14ac:dyDescent="0.3">
      <c r="A8" s="31">
        <v>50</v>
      </c>
      <c r="B8" s="6" t="s">
        <v>29</v>
      </c>
      <c r="C8" s="6" t="s">
        <v>42</v>
      </c>
      <c r="D8" s="6" t="s">
        <v>467</v>
      </c>
      <c r="E8" s="6" t="s">
        <v>86</v>
      </c>
      <c r="F8" s="5">
        <v>0.9</v>
      </c>
      <c r="G8" s="62">
        <v>1550000</v>
      </c>
      <c r="H8" s="5">
        <v>0.5</v>
      </c>
      <c r="I8" s="200" t="s">
        <v>820</v>
      </c>
      <c r="J8" s="158" t="s">
        <v>822</v>
      </c>
      <c r="K8" s="6" t="s">
        <v>823</v>
      </c>
      <c r="L8" s="5">
        <v>9.7199999999999995E-2</v>
      </c>
      <c r="M8" s="4" t="s">
        <v>105</v>
      </c>
    </row>
    <row r="9" spans="1:13" ht="80.25" thickTop="1" thickBot="1" x14ac:dyDescent="0.3">
      <c r="A9" s="31">
        <v>50</v>
      </c>
      <c r="B9" s="6" t="s">
        <v>29</v>
      </c>
      <c r="C9" s="6" t="s">
        <v>42</v>
      </c>
      <c r="D9" s="6" t="s">
        <v>467</v>
      </c>
      <c r="E9" s="6" t="s">
        <v>16</v>
      </c>
      <c r="F9" s="5">
        <v>1</v>
      </c>
      <c r="G9" s="62">
        <v>890000</v>
      </c>
      <c r="H9" s="5">
        <v>0.5</v>
      </c>
      <c r="I9" s="200" t="s">
        <v>821</v>
      </c>
      <c r="J9" s="6" t="s">
        <v>743</v>
      </c>
      <c r="K9" s="6" t="s">
        <v>641</v>
      </c>
      <c r="L9" s="5">
        <v>0.27039999999999997</v>
      </c>
      <c r="M9" s="4" t="s">
        <v>105</v>
      </c>
    </row>
    <row r="10" spans="1:13" ht="15.75" thickTop="1" x14ac:dyDescent="0.25"/>
  </sheetData>
  <mergeCells count="1">
    <mergeCell ref="A1:M1"/>
  </mergeCells>
  <pageMargins left="0.70866141732283472" right="0.70866141732283472" top="0.74803149606299213" bottom="0.74803149606299213" header="0.31496062992125984" footer="0.31496062992125984"/>
  <pageSetup paperSize="9" scale="70" fitToHeight="0" orientation="landscape" r:id="rId1"/>
  <headerFooter>
    <oddFooter>&amp;L&amp;N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5"/>
  <sheetViews>
    <sheetView view="pageBreakPreview" topLeftCell="A2" zoomScale="80" zoomScaleSheetLayoutView="80" workbookViewId="0">
      <selection activeCell="F52" sqref="F52"/>
    </sheetView>
  </sheetViews>
  <sheetFormatPr defaultRowHeight="15" x14ac:dyDescent="0.25"/>
  <cols>
    <col min="1" max="1" width="6" style="9" customWidth="1"/>
    <col min="2" max="2" width="11" customWidth="1"/>
    <col min="3" max="3" width="13" customWidth="1"/>
    <col min="4" max="4" width="14" customWidth="1"/>
    <col min="5" max="5" width="17.5703125" customWidth="1"/>
    <col min="6" max="6" width="11.42578125" style="52" customWidth="1"/>
    <col min="7" max="7" width="12.140625" customWidth="1"/>
    <col min="8" max="8" width="12.85546875" customWidth="1"/>
    <col min="9" max="9" width="17.140625" customWidth="1"/>
    <col min="10" max="12" width="17.140625" style="23" customWidth="1"/>
    <col min="13" max="13" width="17.140625" style="233" customWidth="1"/>
    <col min="14" max="14" width="9.85546875" customWidth="1"/>
  </cols>
  <sheetData>
    <row r="1" spans="1:15" ht="3" customHeight="1" thickBot="1" x14ac:dyDescent="0.3"/>
    <row r="2" spans="1:15" ht="48" customHeight="1" thickTop="1" thickBot="1" x14ac:dyDescent="0.3">
      <c r="A2" s="549" t="s">
        <v>56</v>
      </c>
      <c r="B2" s="549"/>
      <c r="C2" s="549"/>
      <c r="D2" s="549"/>
      <c r="E2" s="549"/>
      <c r="F2" s="549"/>
      <c r="G2" s="549"/>
      <c r="H2" s="549"/>
      <c r="I2" s="549"/>
      <c r="J2" s="540"/>
      <c r="K2" s="540"/>
      <c r="L2" s="540"/>
      <c r="M2" s="540"/>
      <c r="N2" s="549"/>
    </row>
    <row r="3" spans="1:15" s="12" customFormat="1" ht="15" customHeight="1" thickTop="1" thickBot="1" x14ac:dyDescent="0.3">
      <c r="A3" s="548" t="s">
        <v>2</v>
      </c>
      <c r="B3" s="548" t="s">
        <v>0</v>
      </c>
      <c r="C3" s="548" t="s">
        <v>48</v>
      </c>
      <c r="D3" s="548" t="s">
        <v>37</v>
      </c>
      <c r="E3" s="548" t="s">
        <v>3</v>
      </c>
      <c r="F3" s="550" t="s">
        <v>117</v>
      </c>
      <c r="G3" s="551" t="s">
        <v>4</v>
      </c>
      <c r="H3" s="551" t="s">
        <v>5</v>
      </c>
      <c r="I3" s="548" t="s">
        <v>891</v>
      </c>
      <c r="J3" s="527" t="s">
        <v>874</v>
      </c>
      <c r="K3" s="185" t="s">
        <v>635</v>
      </c>
      <c r="L3" s="182" t="s">
        <v>638</v>
      </c>
      <c r="M3" s="234" t="s">
        <v>637</v>
      </c>
      <c r="N3" s="548" t="s">
        <v>35</v>
      </c>
    </row>
    <row r="4" spans="1:15" s="12" customFormat="1" ht="42.75" customHeight="1" thickTop="1" thickBot="1" x14ac:dyDescent="0.3">
      <c r="A4" s="548"/>
      <c r="B4" s="548"/>
      <c r="C4" s="548"/>
      <c r="D4" s="548"/>
      <c r="E4" s="548"/>
      <c r="F4" s="550"/>
      <c r="G4" s="551"/>
      <c r="H4" s="551"/>
      <c r="I4" s="548"/>
      <c r="J4" s="528"/>
      <c r="K4" s="186"/>
      <c r="L4" s="183"/>
      <c r="M4" s="235"/>
      <c r="N4" s="548"/>
    </row>
    <row r="5" spans="1:15" s="94" customFormat="1" ht="96" customHeight="1" thickTop="1" thickBot="1" x14ac:dyDescent="0.3">
      <c r="A5" s="98">
        <v>50</v>
      </c>
      <c r="B5" s="105" t="s">
        <v>29</v>
      </c>
      <c r="C5" s="108" t="s">
        <v>174</v>
      </c>
      <c r="D5" s="109" t="s">
        <v>622</v>
      </c>
      <c r="E5" s="109" t="s">
        <v>175</v>
      </c>
      <c r="F5" s="100">
        <v>80000</v>
      </c>
      <c r="G5" s="84" t="s">
        <v>150</v>
      </c>
      <c r="H5" s="102" t="s">
        <v>158</v>
      </c>
      <c r="I5" s="110" t="s">
        <v>337</v>
      </c>
      <c r="J5" s="158" t="s">
        <v>775</v>
      </c>
      <c r="K5" s="158" t="s">
        <v>743</v>
      </c>
      <c r="L5" s="158" t="s">
        <v>776</v>
      </c>
      <c r="M5" s="228">
        <v>0</v>
      </c>
      <c r="N5" s="92" t="s">
        <v>59</v>
      </c>
    </row>
    <row r="6" spans="1:15" s="94" customFormat="1" ht="106.5" customHeight="1" thickTop="1" thickBot="1" x14ac:dyDescent="0.3">
      <c r="A6" s="98">
        <v>50</v>
      </c>
      <c r="B6" s="105" t="s">
        <v>29</v>
      </c>
      <c r="C6" s="108" t="s">
        <v>174</v>
      </c>
      <c r="D6" s="109" t="s">
        <v>623</v>
      </c>
      <c r="E6" s="109" t="s">
        <v>176</v>
      </c>
      <c r="F6" s="100">
        <v>8000</v>
      </c>
      <c r="G6" s="84" t="s">
        <v>150</v>
      </c>
      <c r="H6" s="102" t="s">
        <v>173</v>
      </c>
      <c r="I6" s="110" t="s">
        <v>778</v>
      </c>
      <c r="J6" s="158" t="s">
        <v>777</v>
      </c>
      <c r="K6" s="158" t="s">
        <v>743</v>
      </c>
      <c r="L6" s="158" t="s">
        <v>776</v>
      </c>
      <c r="M6" s="228">
        <v>0</v>
      </c>
      <c r="N6" s="92" t="s">
        <v>59</v>
      </c>
    </row>
    <row r="7" spans="1:15" s="94" customFormat="1" ht="113.25" customHeight="1" thickTop="1" thickBot="1" x14ac:dyDescent="0.3">
      <c r="A7" s="98">
        <v>50</v>
      </c>
      <c r="B7" s="105" t="s">
        <v>29</v>
      </c>
      <c r="C7" s="108" t="s">
        <v>174</v>
      </c>
      <c r="D7" s="109" t="s">
        <v>338</v>
      </c>
      <c r="E7" s="109" t="s">
        <v>177</v>
      </c>
      <c r="F7" s="100">
        <v>550000</v>
      </c>
      <c r="G7" s="84" t="s">
        <v>150</v>
      </c>
      <c r="H7" s="102" t="s">
        <v>158</v>
      </c>
      <c r="I7" s="110" t="s">
        <v>569</v>
      </c>
      <c r="J7" s="158" t="s">
        <v>779</v>
      </c>
      <c r="K7" s="158" t="s">
        <v>743</v>
      </c>
      <c r="L7" s="158" t="s">
        <v>776</v>
      </c>
      <c r="M7" s="228">
        <v>0</v>
      </c>
      <c r="N7" s="92" t="s">
        <v>59</v>
      </c>
    </row>
    <row r="8" spans="1:15" s="13" customFormat="1" ht="76.5" customHeight="1" thickTop="1" thickBot="1" x14ac:dyDescent="0.3">
      <c r="A8" s="98">
        <v>54</v>
      </c>
      <c r="B8" s="84" t="s">
        <v>26</v>
      </c>
      <c r="C8" s="84" t="s">
        <v>50</v>
      </c>
      <c r="D8" s="84" t="s">
        <v>570</v>
      </c>
      <c r="E8" s="102" t="s">
        <v>180</v>
      </c>
      <c r="F8" s="103">
        <v>20000</v>
      </c>
      <c r="G8" s="99" t="s">
        <v>150</v>
      </c>
      <c r="H8" s="99" t="s">
        <v>173</v>
      </c>
      <c r="I8" s="84" t="s">
        <v>526</v>
      </c>
      <c r="J8" s="159" t="s">
        <v>780</v>
      </c>
      <c r="K8" s="158" t="s">
        <v>743</v>
      </c>
      <c r="L8" s="158" t="s">
        <v>776</v>
      </c>
      <c r="M8" s="236">
        <v>0</v>
      </c>
      <c r="N8" s="84" t="s">
        <v>181</v>
      </c>
    </row>
    <row r="9" spans="1:15" s="13" customFormat="1" ht="87" customHeight="1" thickTop="1" thickBot="1" x14ac:dyDescent="0.3">
      <c r="A9" s="98">
        <v>52</v>
      </c>
      <c r="B9" s="84" t="s">
        <v>26</v>
      </c>
      <c r="C9" s="84" t="s">
        <v>63</v>
      </c>
      <c r="D9" s="84" t="s">
        <v>571</v>
      </c>
      <c r="E9" s="102" t="s">
        <v>262</v>
      </c>
      <c r="F9" s="103">
        <v>200000</v>
      </c>
      <c r="G9" s="99" t="s">
        <v>150</v>
      </c>
      <c r="H9" s="99" t="s">
        <v>173</v>
      </c>
      <c r="I9" s="84" t="s">
        <v>526</v>
      </c>
      <c r="J9" s="159" t="s">
        <v>781</v>
      </c>
      <c r="K9" s="158" t="s">
        <v>743</v>
      </c>
      <c r="L9" s="158" t="s">
        <v>776</v>
      </c>
      <c r="M9" s="236">
        <v>0</v>
      </c>
      <c r="N9" s="84" t="s">
        <v>181</v>
      </c>
    </row>
    <row r="10" spans="1:15" ht="87" customHeight="1" thickTop="1" thickBot="1" x14ac:dyDescent="0.3">
      <c r="A10" s="21">
        <v>50</v>
      </c>
      <c r="B10" s="20" t="s">
        <v>29</v>
      </c>
      <c r="C10" s="20" t="s">
        <v>40</v>
      </c>
      <c r="D10" s="20" t="s">
        <v>106</v>
      </c>
      <c r="E10" s="20" t="s">
        <v>30</v>
      </c>
      <c r="F10" s="39" t="s">
        <v>11</v>
      </c>
      <c r="G10" s="65" t="s">
        <v>150</v>
      </c>
      <c r="H10" s="55" t="s">
        <v>149</v>
      </c>
      <c r="I10" s="20" t="s">
        <v>79</v>
      </c>
      <c r="J10" s="158" t="s">
        <v>782</v>
      </c>
      <c r="K10" s="178" t="s">
        <v>1</v>
      </c>
      <c r="L10" s="178" t="s">
        <v>1</v>
      </c>
      <c r="M10" s="237" t="s">
        <v>13</v>
      </c>
      <c r="N10" s="24" t="s">
        <v>59</v>
      </c>
    </row>
    <row r="11" spans="1:15" s="46" customFormat="1" ht="98.25" customHeight="1" thickTop="1" thickBot="1" x14ac:dyDescent="0.3">
      <c r="A11" s="37">
        <v>50</v>
      </c>
      <c r="B11" s="74" t="s">
        <v>29</v>
      </c>
      <c r="C11" s="74" t="s">
        <v>39</v>
      </c>
      <c r="D11" s="74" t="s">
        <v>332</v>
      </c>
      <c r="E11" s="74" t="s">
        <v>83</v>
      </c>
      <c r="F11" s="39" t="s">
        <v>11</v>
      </c>
      <c r="G11" s="74" t="s">
        <v>150</v>
      </c>
      <c r="H11" s="55" t="s">
        <v>149</v>
      </c>
      <c r="I11" s="74" t="s">
        <v>331</v>
      </c>
      <c r="J11" s="157" t="s">
        <v>783</v>
      </c>
      <c r="K11" s="178" t="s">
        <v>1</v>
      </c>
      <c r="L11" s="178" t="s">
        <v>1</v>
      </c>
      <c r="M11" s="237" t="s">
        <v>13</v>
      </c>
      <c r="N11" s="66" t="s">
        <v>59</v>
      </c>
      <c r="O11" s="53"/>
    </row>
    <row r="12" spans="1:15" s="48" customFormat="1" ht="89.25" customHeight="1" thickTop="1" thickBot="1" x14ac:dyDescent="0.3">
      <c r="A12" s="54">
        <v>50</v>
      </c>
      <c r="B12" s="55" t="s">
        <v>29</v>
      </c>
      <c r="C12" s="55" t="s">
        <v>39</v>
      </c>
      <c r="D12" s="55" t="s">
        <v>333</v>
      </c>
      <c r="E12" s="55" t="s">
        <v>31</v>
      </c>
      <c r="F12" s="39" t="s">
        <v>11</v>
      </c>
      <c r="G12" s="65" t="s">
        <v>150</v>
      </c>
      <c r="H12" s="55" t="s">
        <v>149</v>
      </c>
      <c r="I12" s="74" t="s">
        <v>107</v>
      </c>
      <c r="J12" s="157" t="s">
        <v>784</v>
      </c>
      <c r="K12" s="158" t="s">
        <v>785</v>
      </c>
      <c r="L12" s="157" t="s">
        <v>786</v>
      </c>
      <c r="M12" s="237" t="s">
        <v>13</v>
      </c>
      <c r="N12" s="66" t="s">
        <v>59</v>
      </c>
    </row>
    <row r="13" spans="1:15" s="2" customFormat="1" ht="121.5" customHeight="1" thickTop="1" thickBot="1" x14ac:dyDescent="0.3">
      <c r="A13" s="67">
        <v>50</v>
      </c>
      <c r="B13" s="26" t="s">
        <v>29</v>
      </c>
      <c r="C13" s="68" t="s">
        <v>38</v>
      </c>
      <c r="D13" s="26" t="s">
        <v>335</v>
      </c>
      <c r="E13" s="69" t="s">
        <v>97</v>
      </c>
      <c r="F13" s="39" t="s">
        <v>11</v>
      </c>
      <c r="G13" s="70" t="s">
        <v>150</v>
      </c>
      <c r="H13" s="55" t="s">
        <v>149</v>
      </c>
      <c r="I13" s="71" t="s">
        <v>334</v>
      </c>
      <c r="J13" s="179" t="s">
        <v>787</v>
      </c>
      <c r="K13" s="179" t="s">
        <v>1</v>
      </c>
      <c r="L13" s="179" t="s">
        <v>1</v>
      </c>
      <c r="M13" s="237" t="s">
        <v>13</v>
      </c>
      <c r="N13" s="72" t="s">
        <v>59</v>
      </c>
    </row>
    <row r="14" spans="1:15" s="23" customFormat="1" ht="73.5" customHeight="1" thickTop="1" thickBot="1" x14ac:dyDescent="0.3">
      <c r="A14" s="21">
        <v>50</v>
      </c>
      <c r="B14" s="20" t="s">
        <v>29</v>
      </c>
      <c r="C14" s="17" t="s">
        <v>38</v>
      </c>
      <c r="D14" s="16" t="s">
        <v>336</v>
      </c>
      <c r="E14" s="16" t="s">
        <v>85</v>
      </c>
      <c r="F14" s="39" t="s">
        <v>11</v>
      </c>
      <c r="G14" s="18" t="s">
        <v>150</v>
      </c>
      <c r="H14" s="55" t="s">
        <v>149</v>
      </c>
      <c r="I14" s="15" t="s">
        <v>98</v>
      </c>
      <c r="J14" s="180" t="s">
        <v>825</v>
      </c>
      <c r="K14" s="179" t="s">
        <v>1</v>
      </c>
      <c r="L14" s="179" t="s">
        <v>1</v>
      </c>
      <c r="M14" s="229">
        <v>240</v>
      </c>
      <c r="N14" s="30" t="s">
        <v>59</v>
      </c>
    </row>
    <row r="15" spans="1:15" s="23" customFormat="1" ht="60" customHeight="1" thickTop="1" x14ac:dyDescent="0.25">
      <c r="A15" s="33"/>
      <c r="B15" s="34"/>
      <c r="C15" s="35"/>
      <c r="D15" s="32"/>
      <c r="E15" s="32"/>
      <c r="F15" s="64"/>
      <c r="G15" s="36"/>
      <c r="H15" s="32"/>
      <c r="I15" s="34"/>
      <c r="J15" s="34"/>
      <c r="K15" s="34"/>
      <c r="L15" s="34"/>
      <c r="M15" s="238"/>
      <c r="N15" s="28"/>
    </row>
  </sheetData>
  <mergeCells count="12">
    <mergeCell ref="N3:N4"/>
    <mergeCell ref="D3:D4"/>
    <mergeCell ref="A2:N2"/>
    <mergeCell ref="A3:A4"/>
    <mergeCell ref="B3:B4"/>
    <mergeCell ref="C3:C4"/>
    <mergeCell ref="E3:E4"/>
    <mergeCell ref="F3:F4"/>
    <mergeCell ref="G3:G4"/>
    <mergeCell ref="H3:H4"/>
    <mergeCell ref="I3:I4"/>
    <mergeCell ref="J3:J4"/>
  </mergeCells>
  <pageMargins left="0.70866141732283472" right="0.70866141732283472" top="0.74803149606299213" bottom="0.74803149606299213" header="0.31496062992125984" footer="0.31496062992125984"/>
  <pageSetup paperSize="9" scale="65" fitToHeight="0" orientation="landscape" r:id="rId1"/>
  <headerFooter>
    <oddFooter>&amp;L&amp;N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38"/>
  <sheetViews>
    <sheetView view="pageBreakPreview" topLeftCell="D34" zoomScale="90" zoomScaleSheetLayoutView="90" workbookViewId="0">
      <selection activeCell="F52" sqref="F52"/>
    </sheetView>
  </sheetViews>
  <sheetFormatPr defaultRowHeight="15" x14ac:dyDescent="0.25"/>
  <cols>
    <col min="1" max="1" width="5.85546875" style="9" customWidth="1"/>
    <col min="2" max="2" width="16" customWidth="1"/>
    <col min="3" max="3" width="15.7109375" style="41" customWidth="1"/>
    <col min="4" max="4" width="13.7109375" customWidth="1"/>
    <col min="5" max="5" width="19.28515625" style="14" customWidth="1"/>
    <col min="6" max="6" width="11.7109375" style="86" bestFit="1" customWidth="1"/>
    <col min="7" max="7" width="10.5703125" customWidth="1"/>
    <col min="8" max="8" width="11.7109375" customWidth="1"/>
    <col min="9" max="9" width="16.140625" style="41" customWidth="1"/>
    <col min="10" max="13" width="14.85546875" style="23" customWidth="1"/>
    <col min="14" max="14" width="10.85546875" style="29" customWidth="1"/>
  </cols>
  <sheetData>
    <row r="1" spans="1:14" ht="39.75" customHeight="1" thickTop="1" thickBot="1" x14ac:dyDescent="0.3">
      <c r="A1" s="553" t="s">
        <v>58</v>
      </c>
      <c r="B1" s="553"/>
      <c r="C1" s="553"/>
      <c r="D1" s="553"/>
      <c r="E1" s="553"/>
      <c r="F1" s="553"/>
      <c r="G1" s="553"/>
      <c r="H1" s="553"/>
      <c r="I1" s="553"/>
      <c r="J1" s="554"/>
      <c r="K1" s="554"/>
      <c r="L1" s="554"/>
      <c r="M1" s="554"/>
      <c r="N1" s="553"/>
    </row>
    <row r="2" spans="1:14" s="12" customFormat="1" ht="29.25" customHeight="1" thickTop="1" thickBot="1" x14ac:dyDescent="0.3">
      <c r="A2" s="548" t="s">
        <v>2</v>
      </c>
      <c r="B2" s="548" t="s">
        <v>0</v>
      </c>
      <c r="C2" s="551" t="s">
        <v>48</v>
      </c>
      <c r="D2" s="548" t="s">
        <v>37</v>
      </c>
      <c r="E2" s="548" t="s">
        <v>3</v>
      </c>
      <c r="F2" s="555" t="s">
        <v>117</v>
      </c>
      <c r="G2" s="551" t="s">
        <v>4</v>
      </c>
      <c r="H2" s="551" t="s">
        <v>5</v>
      </c>
      <c r="I2" s="551" t="s">
        <v>878</v>
      </c>
      <c r="J2" s="527" t="s">
        <v>877</v>
      </c>
      <c r="K2" s="182" t="s">
        <v>639</v>
      </c>
      <c r="L2" s="182" t="s">
        <v>638</v>
      </c>
      <c r="M2" s="182" t="s">
        <v>637</v>
      </c>
      <c r="N2" s="552" t="s">
        <v>35</v>
      </c>
    </row>
    <row r="3" spans="1:14" s="12" customFormat="1" ht="17.25" customHeight="1" thickTop="1" thickBot="1" x14ac:dyDescent="0.3">
      <c r="A3" s="548"/>
      <c r="B3" s="548"/>
      <c r="C3" s="551"/>
      <c r="D3" s="548"/>
      <c r="E3" s="548"/>
      <c r="F3" s="555"/>
      <c r="G3" s="551"/>
      <c r="H3" s="551"/>
      <c r="I3" s="551"/>
      <c r="J3" s="528"/>
      <c r="K3" s="183"/>
      <c r="L3" s="183"/>
      <c r="M3" s="183"/>
      <c r="N3" s="552"/>
    </row>
    <row r="4" spans="1:14" s="13" customFormat="1" ht="73.5" customHeight="1" thickTop="1" thickBot="1" x14ac:dyDescent="0.3">
      <c r="A4" s="105">
        <v>34</v>
      </c>
      <c r="B4" s="105" t="s">
        <v>25</v>
      </c>
      <c r="C4" s="105" t="s">
        <v>328</v>
      </c>
      <c r="D4" s="105" t="s">
        <v>412</v>
      </c>
      <c r="E4" s="101" t="s">
        <v>355</v>
      </c>
      <c r="F4" s="113">
        <v>100000</v>
      </c>
      <c r="G4" s="105" t="s">
        <v>150</v>
      </c>
      <c r="H4" s="105" t="s">
        <v>149</v>
      </c>
      <c r="I4" s="193" t="s">
        <v>434</v>
      </c>
      <c r="J4" s="217" t="s">
        <v>1408</v>
      </c>
      <c r="K4" s="217" t="s">
        <v>843</v>
      </c>
      <c r="L4" s="217" t="s">
        <v>861</v>
      </c>
      <c r="M4" s="187">
        <v>0</v>
      </c>
      <c r="N4" s="122" t="s">
        <v>6</v>
      </c>
    </row>
    <row r="5" spans="1:14" s="94" customFormat="1" ht="71.25" customHeight="1" thickTop="1" thickBot="1" x14ac:dyDescent="0.3">
      <c r="A5" s="105">
        <v>40</v>
      </c>
      <c r="B5" s="105" t="s">
        <v>25</v>
      </c>
      <c r="C5" s="105" t="s">
        <v>328</v>
      </c>
      <c r="D5" s="105" t="s">
        <v>413</v>
      </c>
      <c r="E5" s="105" t="s">
        <v>135</v>
      </c>
      <c r="F5" s="113">
        <v>200000</v>
      </c>
      <c r="G5" s="105" t="s">
        <v>151</v>
      </c>
      <c r="H5" s="105" t="s">
        <v>158</v>
      </c>
      <c r="I5" s="193" t="s">
        <v>1</v>
      </c>
      <c r="J5" s="105" t="s">
        <v>1</v>
      </c>
      <c r="K5" s="105" t="s">
        <v>1</v>
      </c>
      <c r="L5" s="105" t="s">
        <v>1</v>
      </c>
      <c r="M5" s="187">
        <v>0</v>
      </c>
      <c r="N5" s="121" t="s">
        <v>6</v>
      </c>
    </row>
    <row r="6" spans="1:14" s="94" customFormat="1" ht="120.75" customHeight="1" thickTop="1" thickBot="1" x14ac:dyDescent="0.3">
      <c r="A6" s="105">
        <v>34</v>
      </c>
      <c r="B6" s="105" t="s">
        <v>25</v>
      </c>
      <c r="C6" s="105" t="s">
        <v>328</v>
      </c>
      <c r="D6" s="114" t="s">
        <v>354</v>
      </c>
      <c r="E6" s="114" t="s">
        <v>136</v>
      </c>
      <c r="F6" s="113">
        <v>100000</v>
      </c>
      <c r="G6" s="105" t="s">
        <v>150</v>
      </c>
      <c r="H6" s="105" t="s">
        <v>149</v>
      </c>
      <c r="I6" s="193" t="s">
        <v>356</v>
      </c>
      <c r="J6" s="159" t="s">
        <v>707</v>
      </c>
      <c r="K6" s="159" t="s">
        <v>1</v>
      </c>
      <c r="L6" s="159" t="s">
        <v>1</v>
      </c>
      <c r="M6" s="187">
        <v>59335</v>
      </c>
      <c r="N6" s="122" t="s">
        <v>17</v>
      </c>
    </row>
    <row r="7" spans="1:14" s="13" customFormat="1" ht="90.75" customHeight="1" thickTop="1" thickBot="1" x14ac:dyDescent="0.3">
      <c r="A7" s="105">
        <v>46</v>
      </c>
      <c r="B7" s="105" t="s">
        <v>25</v>
      </c>
      <c r="C7" s="106" t="s">
        <v>153</v>
      </c>
      <c r="D7" s="105" t="s">
        <v>414</v>
      </c>
      <c r="E7" s="105" t="s">
        <v>137</v>
      </c>
      <c r="F7" s="119">
        <v>318600</v>
      </c>
      <c r="G7" s="105" t="s">
        <v>152</v>
      </c>
      <c r="H7" s="105" t="s">
        <v>149</v>
      </c>
      <c r="I7" s="193" t="s">
        <v>170</v>
      </c>
      <c r="J7" s="159" t="s">
        <v>708</v>
      </c>
      <c r="K7" s="159" t="s">
        <v>1</v>
      </c>
      <c r="L7" s="159" t="s">
        <v>1</v>
      </c>
      <c r="M7" s="159"/>
      <c r="N7" s="123" t="s">
        <v>17</v>
      </c>
    </row>
    <row r="8" spans="1:14" s="13" customFormat="1" ht="57" customHeight="1" thickTop="1" thickBot="1" x14ac:dyDescent="0.3">
      <c r="A8" s="105">
        <v>40</v>
      </c>
      <c r="B8" s="105" t="s">
        <v>25</v>
      </c>
      <c r="C8" s="106" t="s">
        <v>154</v>
      </c>
      <c r="D8" s="105" t="s">
        <v>435</v>
      </c>
      <c r="E8" s="105" t="s">
        <v>138</v>
      </c>
      <c r="F8" s="119">
        <v>30798</v>
      </c>
      <c r="G8" s="128" t="s">
        <v>152</v>
      </c>
      <c r="H8" s="105" t="s">
        <v>535</v>
      </c>
      <c r="I8" s="193" t="s">
        <v>1</v>
      </c>
      <c r="J8" s="105" t="s">
        <v>1</v>
      </c>
      <c r="K8" s="105" t="s">
        <v>1</v>
      </c>
      <c r="L8" s="105" t="s">
        <v>1</v>
      </c>
      <c r="M8" s="187">
        <v>18200</v>
      </c>
      <c r="N8" s="122" t="s">
        <v>6</v>
      </c>
    </row>
    <row r="9" spans="1:14" s="13" customFormat="1" ht="125.25" customHeight="1" thickTop="1" thickBot="1" x14ac:dyDescent="0.3">
      <c r="A9" s="105">
        <v>40</v>
      </c>
      <c r="B9" s="105" t="s">
        <v>25</v>
      </c>
      <c r="C9" s="106" t="s">
        <v>74</v>
      </c>
      <c r="D9" s="102" t="s">
        <v>487</v>
      </c>
      <c r="E9" s="105" t="s">
        <v>139</v>
      </c>
      <c r="F9" s="107" t="s">
        <v>140</v>
      </c>
      <c r="G9" s="110" t="s">
        <v>150</v>
      </c>
      <c r="H9" s="110" t="s">
        <v>149</v>
      </c>
      <c r="I9" s="110" t="s">
        <v>415</v>
      </c>
      <c r="J9" s="158" t="s">
        <v>709</v>
      </c>
      <c r="K9" s="156" t="s">
        <v>1</v>
      </c>
      <c r="L9" s="156" t="s">
        <v>1</v>
      </c>
      <c r="M9" s="187">
        <v>158321</v>
      </c>
      <c r="N9" s="124" t="s">
        <v>6</v>
      </c>
    </row>
    <row r="10" spans="1:14" s="94" customFormat="1" ht="52.5" customHeight="1" thickTop="1" thickBot="1" x14ac:dyDescent="0.3">
      <c r="A10" s="105">
        <v>54</v>
      </c>
      <c r="B10" s="105" t="s">
        <v>25</v>
      </c>
      <c r="C10" s="106" t="s">
        <v>155</v>
      </c>
      <c r="D10" s="105" t="s">
        <v>416</v>
      </c>
      <c r="E10" s="105" t="s">
        <v>141</v>
      </c>
      <c r="F10" s="113">
        <v>100000</v>
      </c>
      <c r="G10" s="110" t="s">
        <v>150</v>
      </c>
      <c r="H10" s="110" t="s">
        <v>149</v>
      </c>
      <c r="I10" s="194">
        <v>0.5</v>
      </c>
      <c r="J10" s="181" t="s">
        <v>1409</v>
      </c>
      <c r="K10" s="156" t="s">
        <v>1</v>
      </c>
      <c r="L10" s="156" t="s">
        <v>1</v>
      </c>
      <c r="M10" s="187">
        <v>51321</v>
      </c>
      <c r="N10" s="122" t="s">
        <v>6</v>
      </c>
    </row>
    <row r="11" spans="1:14" s="94" customFormat="1" ht="55.5" customHeight="1" thickTop="1" thickBot="1" x14ac:dyDescent="0.3">
      <c r="A11" s="105">
        <v>40</v>
      </c>
      <c r="B11" s="105" t="s">
        <v>25</v>
      </c>
      <c r="C11" s="110" t="s">
        <v>73</v>
      </c>
      <c r="D11" s="115" t="s">
        <v>171</v>
      </c>
      <c r="E11" s="116" t="s">
        <v>142</v>
      </c>
      <c r="F11" s="113">
        <v>350000</v>
      </c>
      <c r="G11" s="110" t="s">
        <v>150</v>
      </c>
      <c r="H11" s="110" t="s">
        <v>149</v>
      </c>
      <c r="I11" s="110">
        <v>2</v>
      </c>
      <c r="J11" s="164" t="s">
        <v>862</v>
      </c>
      <c r="K11" s="164" t="s">
        <v>863</v>
      </c>
      <c r="L11" s="164" t="s">
        <v>864</v>
      </c>
      <c r="M11" s="239">
        <v>0</v>
      </c>
      <c r="N11" s="122" t="s">
        <v>6</v>
      </c>
    </row>
    <row r="12" spans="1:14" s="94" customFormat="1" ht="63" customHeight="1" thickTop="1" thickBot="1" x14ac:dyDescent="0.3">
      <c r="A12" s="105">
        <v>40</v>
      </c>
      <c r="B12" s="105" t="s">
        <v>25</v>
      </c>
      <c r="C12" s="110" t="s">
        <v>73</v>
      </c>
      <c r="D12" s="102" t="s">
        <v>172</v>
      </c>
      <c r="E12" s="118" t="s">
        <v>143</v>
      </c>
      <c r="F12" s="117">
        <v>20000</v>
      </c>
      <c r="G12" s="110" t="s">
        <v>150</v>
      </c>
      <c r="H12" s="110" t="s">
        <v>173</v>
      </c>
      <c r="I12" s="240">
        <v>1</v>
      </c>
      <c r="J12" s="156" t="s">
        <v>865</v>
      </c>
      <c r="K12" s="159" t="s">
        <v>743</v>
      </c>
      <c r="L12" s="156" t="s">
        <v>866</v>
      </c>
      <c r="M12" s="239">
        <v>0</v>
      </c>
      <c r="N12" s="122" t="s">
        <v>6</v>
      </c>
    </row>
    <row r="13" spans="1:14" s="96" customFormat="1" ht="84.75" customHeight="1" thickTop="1" thickBot="1" x14ac:dyDescent="0.3">
      <c r="A13" s="105">
        <v>40</v>
      </c>
      <c r="B13" s="105" t="s">
        <v>25</v>
      </c>
      <c r="C13" s="105" t="s">
        <v>6</v>
      </c>
      <c r="D13" s="105" t="s">
        <v>377</v>
      </c>
      <c r="E13" s="105" t="s">
        <v>376</v>
      </c>
      <c r="F13" s="113">
        <v>700000</v>
      </c>
      <c r="G13" s="74" t="s">
        <v>381</v>
      </c>
      <c r="H13" s="74" t="s">
        <v>572</v>
      </c>
      <c r="I13" s="193" t="s">
        <v>879</v>
      </c>
      <c r="J13" s="159" t="s">
        <v>710</v>
      </c>
      <c r="K13" s="159" t="s">
        <v>711</v>
      </c>
      <c r="L13" s="159" t="s">
        <v>788</v>
      </c>
      <c r="M13" s="239">
        <v>0</v>
      </c>
      <c r="N13" s="122" t="s">
        <v>6</v>
      </c>
    </row>
    <row r="14" spans="1:14" s="94" customFormat="1" ht="68.25" customHeight="1" thickTop="1" thickBot="1" x14ac:dyDescent="0.3">
      <c r="A14" s="105">
        <v>40</v>
      </c>
      <c r="B14" s="105" t="s">
        <v>25</v>
      </c>
      <c r="C14" s="105" t="s">
        <v>6</v>
      </c>
      <c r="D14" s="105" t="s">
        <v>624</v>
      </c>
      <c r="E14" s="105" t="s">
        <v>380</v>
      </c>
      <c r="F14" s="113">
        <v>40000</v>
      </c>
      <c r="G14" s="74" t="s">
        <v>150</v>
      </c>
      <c r="H14" s="74" t="s">
        <v>173</v>
      </c>
      <c r="I14" s="105" t="s">
        <v>379</v>
      </c>
      <c r="J14" s="193" t="s">
        <v>789</v>
      </c>
      <c r="K14" s="158" t="s">
        <v>743</v>
      </c>
      <c r="L14" s="193" t="s">
        <v>867</v>
      </c>
      <c r="M14" s="239">
        <v>0</v>
      </c>
      <c r="N14" s="122" t="s">
        <v>6</v>
      </c>
    </row>
    <row r="15" spans="1:14" s="94" customFormat="1" ht="66.75" customHeight="1" thickTop="1" thickBot="1" x14ac:dyDescent="0.3">
      <c r="A15" s="105">
        <v>40</v>
      </c>
      <c r="B15" s="105" t="s">
        <v>25</v>
      </c>
      <c r="C15" s="105" t="s">
        <v>6</v>
      </c>
      <c r="D15" s="105" t="s">
        <v>499</v>
      </c>
      <c r="E15" s="105" t="s">
        <v>358</v>
      </c>
      <c r="F15" s="113">
        <v>5000</v>
      </c>
      <c r="G15" s="74" t="s">
        <v>150</v>
      </c>
      <c r="H15" s="74" t="s">
        <v>173</v>
      </c>
      <c r="I15" s="105" t="s">
        <v>379</v>
      </c>
      <c r="J15" s="193" t="s">
        <v>790</v>
      </c>
      <c r="K15" s="193" t="s">
        <v>791</v>
      </c>
      <c r="L15" s="158" t="s">
        <v>740</v>
      </c>
      <c r="M15" s="239">
        <v>0</v>
      </c>
      <c r="N15" s="122" t="s">
        <v>6</v>
      </c>
    </row>
    <row r="16" spans="1:14" s="94" customFormat="1" ht="66.75" customHeight="1" thickTop="1" thickBot="1" x14ac:dyDescent="0.3">
      <c r="A16" s="105">
        <v>40</v>
      </c>
      <c r="B16" s="105" t="s">
        <v>25</v>
      </c>
      <c r="C16" s="105" t="s">
        <v>6</v>
      </c>
      <c r="D16" s="105" t="s">
        <v>575</v>
      </c>
      <c r="E16" s="105" t="s">
        <v>359</v>
      </c>
      <c r="F16" s="113">
        <v>5000</v>
      </c>
      <c r="G16" s="74" t="s">
        <v>150</v>
      </c>
      <c r="H16" s="74" t="s">
        <v>173</v>
      </c>
      <c r="I16" s="105" t="s">
        <v>379</v>
      </c>
      <c r="J16" s="193" t="s">
        <v>792</v>
      </c>
      <c r="K16" s="159" t="s">
        <v>743</v>
      </c>
      <c r="L16" s="159" t="s">
        <v>793</v>
      </c>
      <c r="M16" s="239">
        <v>0</v>
      </c>
      <c r="N16" s="122" t="s">
        <v>6</v>
      </c>
    </row>
    <row r="17" spans="1:14" s="94" customFormat="1" ht="66.75" customHeight="1" thickTop="1" thickBot="1" x14ac:dyDescent="0.3">
      <c r="A17" s="105">
        <v>54</v>
      </c>
      <c r="B17" s="105" t="s">
        <v>25</v>
      </c>
      <c r="C17" s="105" t="s">
        <v>50</v>
      </c>
      <c r="D17" s="105" t="s">
        <v>574</v>
      </c>
      <c r="E17" s="105" t="s">
        <v>360</v>
      </c>
      <c r="F17" s="113">
        <v>15000</v>
      </c>
      <c r="G17" s="74" t="s">
        <v>150</v>
      </c>
      <c r="H17" s="74" t="s">
        <v>173</v>
      </c>
      <c r="I17" s="105" t="s">
        <v>379</v>
      </c>
      <c r="J17" s="193" t="s">
        <v>790</v>
      </c>
      <c r="K17" s="193" t="s">
        <v>794</v>
      </c>
      <c r="L17" s="158" t="s">
        <v>740</v>
      </c>
      <c r="M17" s="239">
        <v>0</v>
      </c>
      <c r="N17" s="122" t="s">
        <v>17</v>
      </c>
    </row>
    <row r="18" spans="1:14" s="94" customFormat="1" ht="76.5" customHeight="1" thickTop="1" thickBot="1" x14ac:dyDescent="0.3">
      <c r="A18" s="105">
        <v>54</v>
      </c>
      <c r="B18" s="105" t="s">
        <v>25</v>
      </c>
      <c r="C18" s="105" t="s">
        <v>50</v>
      </c>
      <c r="D18" s="105" t="s">
        <v>573</v>
      </c>
      <c r="E18" s="105" t="s">
        <v>378</v>
      </c>
      <c r="F18" s="113">
        <v>8000</v>
      </c>
      <c r="G18" s="74" t="s">
        <v>150</v>
      </c>
      <c r="H18" s="74" t="s">
        <v>173</v>
      </c>
      <c r="I18" s="105" t="s">
        <v>379</v>
      </c>
      <c r="J18" s="193" t="s">
        <v>795</v>
      </c>
      <c r="K18" s="159" t="s">
        <v>743</v>
      </c>
      <c r="L18" s="159" t="s">
        <v>793</v>
      </c>
      <c r="M18" s="239">
        <v>0</v>
      </c>
      <c r="N18" s="122" t="s">
        <v>6</v>
      </c>
    </row>
    <row r="19" spans="1:14" s="13" customFormat="1" ht="81" customHeight="1" thickTop="1" thickBot="1" x14ac:dyDescent="0.3">
      <c r="A19" s="105">
        <v>40</v>
      </c>
      <c r="B19" s="105" t="s">
        <v>25</v>
      </c>
      <c r="C19" s="105" t="s">
        <v>329</v>
      </c>
      <c r="D19" s="105" t="s">
        <v>417</v>
      </c>
      <c r="E19" s="105" t="s">
        <v>147</v>
      </c>
      <c r="F19" s="113">
        <v>280000</v>
      </c>
      <c r="G19" s="110" t="s">
        <v>150</v>
      </c>
      <c r="H19" s="110" t="s">
        <v>149</v>
      </c>
      <c r="I19" s="193" t="s">
        <v>880</v>
      </c>
      <c r="J19" s="164" t="s">
        <v>881</v>
      </c>
      <c r="K19" s="164" t="s">
        <v>1</v>
      </c>
      <c r="L19" s="164" t="s">
        <v>1</v>
      </c>
      <c r="M19" s="202">
        <v>3900</v>
      </c>
      <c r="N19" s="121" t="s">
        <v>6</v>
      </c>
    </row>
    <row r="20" spans="1:14" s="13" customFormat="1" ht="92.25" customHeight="1" thickTop="1" thickBot="1" x14ac:dyDescent="0.3">
      <c r="A20" s="105">
        <v>40</v>
      </c>
      <c r="B20" s="105" t="s">
        <v>25</v>
      </c>
      <c r="C20" s="105" t="s">
        <v>329</v>
      </c>
      <c r="D20" s="105" t="s">
        <v>420</v>
      </c>
      <c r="E20" s="105" t="s">
        <v>144</v>
      </c>
      <c r="F20" s="117">
        <v>200000</v>
      </c>
      <c r="G20" s="110" t="s">
        <v>150</v>
      </c>
      <c r="H20" s="110" t="s">
        <v>149</v>
      </c>
      <c r="I20" s="193" t="s">
        <v>882</v>
      </c>
      <c r="J20" s="164" t="s">
        <v>883</v>
      </c>
      <c r="K20" s="164" t="s">
        <v>1</v>
      </c>
      <c r="L20" s="164" t="s">
        <v>1</v>
      </c>
      <c r="M20" s="202">
        <v>105880</v>
      </c>
      <c r="N20" s="121" t="s">
        <v>6</v>
      </c>
    </row>
    <row r="21" spans="1:14" s="13" customFormat="1" ht="81.75" customHeight="1" thickTop="1" thickBot="1" x14ac:dyDescent="0.3">
      <c r="A21" s="105">
        <v>54</v>
      </c>
      <c r="B21" s="105" t="s">
        <v>25</v>
      </c>
      <c r="C21" s="105" t="s">
        <v>329</v>
      </c>
      <c r="D21" s="105" t="s">
        <v>419</v>
      </c>
      <c r="E21" s="105" t="s">
        <v>145</v>
      </c>
      <c r="F21" s="117">
        <v>100000</v>
      </c>
      <c r="G21" s="110" t="s">
        <v>150</v>
      </c>
      <c r="H21" s="110" t="s">
        <v>149</v>
      </c>
      <c r="I21" s="193" t="s">
        <v>885</v>
      </c>
      <c r="J21" s="164" t="s">
        <v>884</v>
      </c>
      <c r="K21" s="164" t="s">
        <v>1</v>
      </c>
      <c r="L21" s="164" t="s">
        <v>1</v>
      </c>
      <c r="M21" s="202">
        <v>104100</v>
      </c>
      <c r="N21" s="121" t="s">
        <v>6</v>
      </c>
    </row>
    <row r="22" spans="1:14" s="13" customFormat="1" ht="89.25" customHeight="1" thickTop="1" thickBot="1" x14ac:dyDescent="0.3">
      <c r="A22" s="105">
        <v>40</v>
      </c>
      <c r="B22" s="105" t="s">
        <v>25</v>
      </c>
      <c r="C22" s="105" t="s">
        <v>329</v>
      </c>
      <c r="D22" s="105" t="s">
        <v>418</v>
      </c>
      <c r="E22" s="105" t="s">
        <v>330</v>
      </c>
      <c r="F22" s="117">
        <v>95000</v>
      </c>
      <c r="G22" s="110" t="s">
        <v>150</v>
      </c>
      <c r="H22" s="110" t="s">
        <v>149</v>
      </c>
      <c r="I22" s="193" t="s">
        <v>887</v>
      </c>
      <c r="J22" s="164" t="s">
        <v>886</v>
      </c>
      <c r="K22" s="164" t="s">
        <v>1</v>
      </c>
      <c r="L22" s="164" t="s">
        <v>1</v>
      </c>
      <c r="M22" s="202">
        <v>0</v>
      </c>
      <c r="N22" s="121" t="s">
        <v>6</v>
      </c>
    </row>
    <row r="23" spans="1:14" s="13" customFormat="1" ht="127.5" customHeight="1" thickTop="1" thickBot="1" x14ac:dyDescent="0.3">
      <c r="A23" s="105">
        <v>40</v>
      </c>
      <c r="B23" s="105" t="s">
        <v>25</v>
      </c>
      <c r="C23" s="105" t="s">
        <v>329</v>
      </c>
      <c r="D23" s="105" t="s">
        <v>421</v>
      </c>
      <c r="E23" s="105" t="s">
        <v>146</v>
      </c>
      <c r="F23" s="117">
        <v>200000</v>
      </c>
      <c r="G23" s="110" t="s">
        <v>150</v>
      </c>
      <c r="H23" s="110" t="s">
        <v>149</v>
      </c>
      <c r="I23" s="193" t="s">
        <v>888</v>
      </c>
      <c r="J23" s="164" t="s">
        <v>868</v>
      </c>
      <c r="K23" s="164" t="s">
        <v>796</v>
      </c>
      <c r="L23" s="164" t="s">
        <v>797</v>
      </c>
      <c r="M23" s="202">
        <v>0</v>
      </c>
      <c r="N23" s="121" t="s">
        <v>6</v>
      </c>
    </row>
    <row r="24" spans="1:14" s="94" customFormat="1" ht="78" thickTop="1" thickBot="1" x14ac:dyDescent="0.3">
      <c r="A24" s="98">
        <v>14</v>
      </c>
      <c r="B24" s="84" t="s">
        <v>26</v>
      </c>
      <c r="C24" s="84" t="s">
        <v>189</v>
      </c>
      <c r="D24" s="84" t="s">
        <v>626</v>
      </c>
      <c r="E24" s="102" t="s">
        <v>190</v>
      </c>
      <c r="F24" s="155">
        <v>300000</v>
      </c>
      <c r="G24" s="122" t="s">
        <v>150</v>
      </c>
      <c r="H24" s="122" t="s">
        <v>149</v>
      </c>
      <c r="I24" s="195" t="s">
        <v>543</v>
      </c>
      <c r="J24" s="159" t="s">
        <v>673</v>
      </c>
      <c r="K24" s="159" t="s">
        <v>743</v>
      </c>
      <c r="L24" s="159" t="s">
        <v>716</v>
      </c>
      <c r="M24" s="202">
        <v>0</v>
      </c>
      <c r="N24" s="122" t="s">
        <v>181</v>
      </c>
    </row>
    <row r="25" spans="1:14" s="94" customFormat="1" ht="78" thickTop="1" thickBot="1" x14ac:dyDescent="0.3">
      <c r="A25" s="98">
        <v>14</v>
      </c>
      <c r="B25" s="84" t="s">
        <v>26</v>
      </c>
      <c r="C25" s="84" t="s">
        <v>189</v>
      </c>
      <c r="D25" s="84" t="s">
        <v>625</v>
      </c>
      <c r="E25" s="102" t="s">
        <v>148</v>
      </c>
      <c r="F25" s="155">
        <v>300000</v>
      </c>
      <c r="G25" s="122" t="s">
        <v>150</v>
      </c>
      <c r="H25" s="122" t="s">
        <v>149</v>
      </c>
      <c r="I25" s="195" t="s">
        <v>543</v>
      </c>
      <c r="J25" s="159" t="s">
        <v>673</v>
      </c>
      <c r="K25" s="159" t="s">
        <v>743</v>
      </c>
      <c r="L25" s="159" t="s">
        <v>716</v>
      </c>
      <c r="M25" s="202">
        <v>0</v>
      </c>
      <c r="N25" s="122" t="s">
        <v>181</v>
      </c>
    </row>
    <row r="26" spans="1:14" s="13" customFormat="1" ht="78" thickTop="1" thickBot="1" x14ac:dyDescent="0.3">
      <c r="A26" s="98">
        <v>32</v>
      </c>
      <c r="B26" s="84" t="s">
        <v>26</v>
      </c>
      <c r="C26" s="84" t="s">
        <v>61</v>
      </c>
      <c r="D26" s="102" t="s">
        <v>298</v>
      </c>
      <c r="E26" s="102" t="s">
        <v>398</v>
      </c>
      <c r="F26" s="155">
        <v>1500000</v>
      </c>
      <c r="G26" s="84" t="s">
        <v>150</v>
      </c>
      <c r="H26" s="84" t="s">
        <v>149</v>
      </c>
      <c r="I26" s="196" t="s">
        <v>576</v>
      </c>
      <c r="J26" s="159" t="s">
        <v>717</v>
      </c>
      <c r="K26" s="159" t="s">
        <v>743</v>
      </c>
      <c r="L26" s="159" t="s">
        <v>716</v>
      </c>
      <c r="M26" s="202">
        <v>0</v>
      </c>
      <c r="N26" s="122" t="s">
        <v>27</v>
      </c>
    </row>
    <row r="27" spans="1:14" s="94" customFormat="1" ht="79.5" customHeight="1" thickTop="1" thickBot="1" x14ac:dyDescent="0.3">
      <c r="A27" s="98">
        <v>34</v>
      </c>
      <c r="B27" s="84" t="s">
        <v>26</v>
      </c>
      <c r="C27" s="102" t="s">
        <v>220</v>
      </c>
      <c r="D27" s="102" t="s">
        <v>627</v>
      </c>
      <c r="E27" s="102" t="s">
        <v>227</v>
      </c>
      <c r="F27" s="155">
        <v>220000</v>
      </c>
      <c r="G27" s="122" t="s">
        <v>150</v>
      </c>
      <c r="H27" s="122" t="s">
        <v>149</v>
      </c>
      <c r="I27" s="195" t="s">
        <v>543</v>
      </c>
      <c r="J27" s="159" t="s">
        <v>673</v>
      </c>
      <c r="K27" s="159" t="s">
        <v>743</v>
      </c>
      <c r="L27" s="159" t="s">
        <v>716</v>
      </c>
      <c r="M27" s="202">
        <v>0</v>
      </c>
      <c r="N27" s="122" t="s">
        <v>181</v>
      </c>
    </row>
    <row r="28" spans="1:14" s="94" customFormat="1" ht="78" customHeight="1" thickTop="1" thickBot="1" x14ac:dyDescent="0.3">
      <c r="A28" s="98">
        <v>34</v>
      </c>
      <c r="B28" s="84" t="s">
        <v>26</v>
      </c>
      <c r="C28" s="102" t="s">
        <v>220</v>
      </c>
      <c r="D28" s="102" t="s">
        <v>628</v>
      </c>
      <c r="E28" s="102" t="s">
        <v>228</v>
      </c>
      <c r="F28" s="155">
        <v>220000</v>
      </c>
      <c r="G28" s="122" t="s">
        <v>150</v>
      </c>
      <c r="H28" s="122" t="s">
        <v>149</v>
      </c>
      <c r="I28" s="195" t="s">
        <v>543</v>
      </c>
      <c r="J28" s="159" t="s">
        <v>673</v>
      </c>
      <c r="K28" s="159" t="s">
        <v>743</v>
      </c>
      <c r="L28" s="159" t="s">
        <v>716</v>
      </c>
      <c r="M28" s="202">
        <v>0</v>
      </c>
      <c r="N28" s="122" t="s">
        <v>181</v>
      </c>
    </row>
    <row r="29" spans="1:14" s="94" customFormat="1" ht="78" thickTop="1" thickBot="1" x14ac:dyDescent="0.3">
      <c r="A29" s="98">
        <v>34</v>
      </c>
      <c r="B29" s="84" t="s">
        <v>26</v>
      </c>
      <c r="C29" s="102" t="s">
        <v>220</v>
      </c>
      <c r="D29" s="102" t="s">
        <v>629</v>
      </c>
      <c r="E29" s="102" t="s">
        <v>229</v>
      </c>
      <c r="F29" s="155">
        <v>220000</v>
      </c>
      <c r="G29" s="122" t="s">
        <v>150</v>
      </c>
      <c r="H29" s="122" t="s">
        <v>149</v>
      </c>
      <c r="I29" s="195" t="s">
        <v>543</v>
      </c>
      <c r="J29" s="159" t="s">
        <v>673</v>
      </c>
      <c r="K29" s="159" t="s">
        <v>743</v>
      </c>
      <c r="L29" s="159" t="s">
        <v>716</v>
      </c>
      <c r="M29" s="202">
        <v>0</v>
      </c>
      <c r="N29" s="122" t="s">
        <v>181</v>
      </c>
    </row>
    <row r="30" spans="1:14" ht="90.75" thickTop="1" thickBot="1" x14ac:dyDescent="0.3">
      <c r="A30" s="98">
        <v>32</v>
      </c>
      <c r="B30" s="84" t="s">
        <v>26</v>
      </c>
      <c r="C30" s="102" t="s">
        <v>191</v>
      </c>
      <c r="D30" s="102" t="s">
        <v>578</v>
      </c>
      <c r="E30" s="102" t="s">
        <v>205</v>
      </c>
      <c r="F30" s="155">
        <v>75000</v>
      </c>
      <c r="G30" s="99" t="s">
        <v>150</v>
      </c>
      <c r="H30" s="99" t="s">
        <v>158</v>
      </c>
      <c r="I30" s="197" t="s">
        <v>577</v>
      </c>
      <c r="J30" s="120" t="s">
        <v>718</v>
      </c>
      <c r="K30" s="159" t="s">
        <v>743</v>
      </c>
      <c r="L30" s="159" t="s">
        <v>716</v>
      </c>
      <c r="M30" s="202">
        <v>0</v>
      </c>
      <c r="N30" s="122" t="s">
        <v>181</v>
      </c>
    </row>
    <row r="31" spans="1:14" ht="90.75" thickTop="1" thickBot="1" x14ac:dyDescent="0.3">
      <c r="A31" s="98">
        <v>32</v>
      </c>
      <c r="B31" s="84" t="s">
        <v>26</v>
      </c>
      <c r="C31" s="102" t="s">
        <v>191</v>
      </c>
      <c r="D31" s="102" t="s">
        <v>586</v>
      </c>
      <c r="E31" s="102" t="s">
        <v>206</v>
      </c>
      <c r="F31" s="155">
        <v>75000</v>
      </c>
      <c r="G31" s="99" t="s">
        <v>150</v>
      </c>
      <c r="H31" s="99" t="s">
        <v>158</v>
      </c>
      <c r="I31" s="197" t="s">
        <v>577</v>
      </c>
      <c r="J31" s="120" t="s">
        <v>718</v>
      </c>
      <c r="K31" s="159" t="s">
        <v>743</v>
      </c>
      <c r="L31" s="159" t="s">
        <v>716</v>
      </c>
      <c r="M31" s="202">
        <v>0</v>
      </c>
      <c r="N31" s="122" t="s">
        <v>181</v>
      </c>
    </row>
    <row r="32" spans="1:14" ht="90.75" thickTop="1" thickBot="1" x14ac:dyDescent="0.3">
      <c r="A32" s="98">
        <v>32</v>
      </c>
      <c r="B32" s="84" t="s">
        <v>26</v>
      </c>
      <c r="C32" s="102" t="s">
        <v>191</v>
      </c>
      <c r="D32" s="102" t="s">
        <v>585</v>
      </c>
      <c r="E32" s="102" t="s">
        <v>207</v>
      </c>
      <c r="F32" s="155">
        <v>75000</v>
      </c>
      <c r="G32" s="99" t="s">
        <v>150</v>
      </c>
      <c r="H32" s="99" t="s">
        <v>158</v>
      </c>
      <c r="I32" s="197" t="s">
        <v>577</v>
      </c>
      <c r="J32" s="120" t="s">
        <v>718</v>
      </c>
      <c r="K32" s="159" t="s">
        <v>743</v>
      </c>
      <c r="L32" s="159" t="s">
        <v>716</v>
      </c>
      <c r="M32" s="202">
        <v>0</v>
      </c>
      <c r="N32" s="122" t="s">
        <v>181</v>
      </c>
    </row>
    <row r="33" spans="1:14" ht="90.75" thickTop="1" thickBot="1" x14ac:dyDescent="0.3">
      <c r="A33" s="98">
        <v>32</v>
      </c>
      <c r="B33" s="84" t="s">
        <v>26</v>
      </c>
      <c r="C33" s="102" t="s">
        <v>191</v>
      </c>
      <c r="D33" s="102" t="s">
        <v>582</v>
      </c>
      <c r="E33" s="102" t="s">
        <v>208</v>
      </c>
      <c r="F33" s="155">
        <v>75000</v>
      </c>
      <c r="G33" s="99" t="s">
        <v>150</v>
      </c>
      <c r="H33" s="99" t="s">
        <v>158</v>
      </c>
      <c r="I33" s="197" t="s">
        <v>577</v>
      </c>
      <c r="J33" s="120" t="s">
        <v>718</v>
      </c>
      <c r="K33" s="159" t="s">
        <v>743</v>
      </c>
      <c r="L33" s="159" t="s">
        <v>716</v>
      </c>
      <c r="M33" s="202">
        <v>0</v>
      </c>
      <c r="N33" s="122" t="s">
        <v>181</v>
      </c>
    </row>
    <row r="34" spans="1:14" ht="90.75" thickTop="1" thickBot="1" x14ac:dyDescent="0.3">
      <c r="A34" s="98">
        <v>32</v>
      </c>
      <c r="B34" s="84" t="s">
        <v>26</v>
      </c>
      <c r="C34" s="102" t="s">
        <v>191</v>
      </c>
      <c r="D34" s="102" t="s">
        <v>581</v>
      </c>
      <c r="E34" s="102" t="s">
        <v>343</v>
      </c>
      <c r="F34" s="155">
        <v>75000</v>
      </c>
      <c r="G34" s="99" t="s">
        <v>150</v>
      </c>
      <c r="H34" s="99" t="s">
        <v>158</v>
      </c>
      <c r="I34" s="197" t="s">
        <v>577</v>
      </c>
      <c r="J34" s="120" t="s">
        <v>718</v>
      </c>
      <c r="K34" s="159" t="s">
        <v>743</v>
      </c>
      <c r="L34" s="159" t="s">
        <v>716</v>
      </c>
      <c r="M34" s="202">
        <v>0</v>
      </c>
      <c r="N34" s="122" t="s">
        <v>181</v>
      </c>
    </row>
    <row r="35" spans="1:14" ht="66.75" customHeight="1" thickTop="1" thickBot="1" x14ac:dyDescent="0.3">
      <c r="A35" s="98">
        <v>28</v>
      </c>
      <c r="B35" s="84" t="s">
        <v>422</v>
      </c>
      <c r="C35" s="84" t="s">
        <v>88</v>
      </c>
      <c r="D35" s="84" t="s">
        <v>580</v>
      </c>
      <c r="E35" s="84" t="s">
        <v>399</v>
      </c>
      <c r="F35" s="87">
        <v>20000</v>
      </c>
      <c r="G35" s="99" t="s">
        <v>579</v>
      </c>
      <c r="H35" s="99" t="s">
        <v>496</v>
      </c>
      <c r="I35" s="84" t="s">
        <v>91</v>
      </c>
      <c r="J35" s="159" t="s">
        <v>889</v>
      </c>
      <c r="K35" s="159" t="s">
        <v>1</v>
      </c>
      <c r="L35" s="159" t="s">
        <v>1</v>
      </c>
      <c r="M35" s="159" t="s">
        <v>713</v>
      </c>
      <c r="N35" s="122" t="s">
        <v>27</v>
      </c>
    </row>
    <row r="36" spans="1:14" ht="91.5" customHeight="1" thickTop="1" thickBot="1" x14ac:dyDescent="0.3">
      <c r="A36" s="98">
        <v>28</v>
      </c>
      <c r="B36" s="84" t="s">
        <v>422</v>
      </c>
      <c r="C36" s="84" t="s">
        <v>88</v>
      </c>
      <c r="D36" s="84" t="s">
        <v>584</v>
      </c>
      <c r="E36" s="84" t="s">
        <v>400</v>
      </c>
      <c r="F36" s="87">
        <v>300000</v>
      </c>
      <c r="G36" s="99" t="s">
        <v>150</v>
      </c>
      <c r="H36" s="99" t="s">
        <v>158</v>
      </c>
      <c r="I36" s="196" t="s">
        <v>583</v>
      </c>
      <c r="J36" s="159" t="s">
        <v>869</v>
      </c>
      <c r="K36" s="159" t="s">
        <v>714</v>
      </c>
      <c r="L36" s="159" t="s">
        <v>715</v>
      </c>
      <c r="M36" s="187">
        <v>0</v>
      </c>
      <c r="N36" s="122" t="s">
        <v>27</v>
      </c>
    </row>
    <row r="37" spans="1:14" ht="65.25" thickTop="1" thickBot="1" x14ac:dyDescent="0.3">
      <c r="A37" s="98">
        <v>28</v>
      </c>
      <c r="B37" s="84" t="s">
        <v>422</v>
      </c>
      <c r="C37" s="84" t="s">
        <v>88</v>
      </c>
      <c r="D37" s="84" t="s">
        <v>630</v>
      </c>
      <c r="E37" s="84" t="s">
        <v>179</v>
      </c>
      <c r="F37" s="100">
        <v>350000</v>
      </c>
      <c r="G37" s="84" t="s">
        <v>150</v>
      </c>
      <c r="H37" s="84" t="s">
        <v>535</v>
      </c>
      <c r="I37" s="196" t="s">
        <v>890</v>
      </c>
      <c r="J37" s="159" t="s">
        <v>870</v>
      </c>
      <c r="K37" s="159" t="s">
        <v>743</v>
      </c>
      <c r="L37" s="159" t="s">
        <v>716</v>
      </c>
      <c r="M37" s="187">
        <v>0</v>
      </c>
      <c r="N37" s="122" t="s">
        <v>27</v>
      </c>
    </row>
    <row r="38" spans="1:14" ht="15.75" thickTop="1" x14ac:dyDescent="0.25"/>
  </sheetData>
  <mergeCells count="12">
    <mergeCell ref="N2:N3"/>
    <mergeCell ref="A1:N1"/>
    <mergeCell ref="C2:C3"/>
    <mergeCell ref="G2:G3"/>
    <mergeCell ref="H2:H3"/>
    <mergeCell ref="I2:I3"/>
    <mergeCell ref="A2:A3"/>
    <mergeCell ref="B2:B3"/>
    <mergeCell ref="D2:D3"/>
    <mergeCell ref="E2:E3"/>
    <mergeCell ref="F2:F3"/>
    <mergeCell ref="J2:J3"/>
  </mergeCells>
  <pageMargins left="0.70866141732283472" right="0.70866141732283472" top="0.74803149606299213" bottom="0.74803149606299213" header="0.31496062992125984" footer="0.31496062992125984"/>
  <pageSetup paperSize="9" scale="65" fitToHeight="0" orientation="landscape" r:id="rId1"/>
  <headerFooter>
    <oddFooter>&amp;L&amp;N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4"/>
  <sheetViews>
    <sheetView view="pageBreakPreview" topLeftCell="D2" zoomScaleSheetLayoutView="100" workbookViewId="0">
      <selection activeCell="F52" sqref="F52"/>
    </sheetView>
  </sheetViews>
  <sheetFormatPr defaultRowHeight="15" x14ac:dyDescent="0.25"/>
  <cols>
    <col min="1" max="1" width="6.7109375" style="9" customWidth="1"/>
    <col min="2" max="2" width="12.28515625" customWidth="1"/>
    <col min="3" max="3" width="12" customWidth="1"/>
    <col min="4" max="4" width="17.5703125" customWidth="1"/>
    <col min="5" max="5" width="16.7109375" customWidth="1"/>
    <col min="6" max="6" width="18" style="9" customWidth="1"/>
    <col min="7" max="7" width="11.42578125" style="52" customWidth="1"/>
    <col min="8" max="8" width="10" customWidth="1"/>
    <col min="9" max="9" width="14.85546875" style="41" customWidth="1"/>
    <col min="10" max="10" width="11.28515625" style="23" customWidth="1"/>
    <col min="11" max="11" width="13.7109375" style="23" customWidth="1"/>
    <col min="12" max="12" width="12" style="23" customWidth="1"/>
    <col min="13" max="13" width="12.7109375" customWidth="1"/>
  </cols>
  <sheetData>
    <row r="1" spans="1:13" ht="57" customHeight="1" thickTop="1" thickBot="1" x14ac:dyDescent="0.3">
      <c r="A1" s="556" t="s">
        <v>57</v>
      </c>
      <c r="B1" s="556"/>
      <c r="C1" s="556"/>
      <c r="D1" s="556"/>
      <c r="E1" s="556"/>
      <c r="F1" s="556"/>
      <c r="G1" s="556"/>
      <c r="H1" s="556"/>
      <c r="I1" s="556"/>
      <c r="J1" s="556"/>
      <c r="K1" s="556"/>
      <c r="L1" s="556"/>
      <c r="M1" s="556"/>
    </row>
    <row r="2" spans="1:13" s="12" customFormat="1" ht="41.25" customHeight="1" thickTop="1" thickBot="1" x14ac:dyDescent="0.3">
      <c r="A2" s="19" t="s">
        <v>2</v>
      </c>
      <c r="B2" s="22" t="s">
        <v>0</v>
      </c>
      <c r="C2" s="22" t="s">
        <v>69</v>
      </c>
      <c r="D2" s="22" t="s">
        <v>8</v>
      </c>
      <c r="E2" s="22" t="s">
        <v>21</v>
      </c>
      <c r="F2" s="19" t="s">
        <v>9</v>
      </c>
      <c r="G2" s="73" t="s">
        <v>117</v>
      </c>
      <c r="H2" s="22" t="s">
        <v>875</v>
      </c>
      <c r="I2" s="190" t="s">
        <v>876</v>
      </c>
      <c r="J2" s="22" t="s">
        <v>635</v>
      </c>
      <c r="K2" s="22" t="s">
        <v>636</v>
      </c>
      <c r="L2" s="22" t="s">
        <v>637</v>
      </c>
      <c r="M2" s="22" t="s">
        <v>10</v>
      </c>
    </row>
    <row r="3" spans="1:13" ht="73.5" thickTop="1" thickBot="1" x14ac:dyDescent="0.3">
      <c r="A3" s="138">
        <v>54</v>
      </c>
      <c r="B3" s="131" t="s">
        <v>25</v>
      </c>
      <c r="C3" s="131" t="s">
        <v>72</v>
      </c>
      <c r="D3" s="131" t="s">
        <v>469</v>
      </c>
      <c r="E3" s="139" t="s">
        <v>470</v>
      </c>
      <c r="F3" s="138">
        <v>29</v>
      </c>
      <c r="G3" s="140" t="s">
        <v>13</v>
      </c>
      <c r="H3" s="131">
        <v>29</v>
      </c>
      <c r="I3" s="189" t="s">
        <v>702</v>
      </c>
      <c r="J3" s="131" t="s">
        <v>1</v>
      </c>
      <c r="K3" s="131" t="s">
        <v>1</v>
      </c>
      <c r="L3" s="241">
        <v>0</v>
      </c>
      <c r="M3" s="131" t="s">
        <v>32</v>
      </c>
    </row>
    <row r="4" spans="1:13" ht="77.25" customHeight="1" thickTop="1" thickBot="1" x14ac:dyDescent="0.3">
      <c r="A4" s="138">
        <v>54</v>
      </c>
      <c r="B4" s="131" t="s">
        <v>25</v>
      </c>
      <c r="C4" s="131" t="s">
        <v>72</v>
      </c>
      <c r="D4" s="131" t="s">
        <v>471</v>
      </c>
      <c r="E4" s="131" t="s">
        <v>472</v>
      </c>
      <c r="F4" s="141">
        <v>1</v>
      </c>
      <c r="G4" s="140" t="s">
        <v>13</v>
      </c>
      <c r="H4" s="141">
        <v>1</v>
      </c>
      <c r="I4" s="188" t="s">
        <v>703</v>
      </c>
      <c r="J4" s="141" t="s">
        <v>1</v>
      </c>
      <c r="K4" s="141" t="s">
        <v>1</v>
      </c>
      <c r="L4" s="230">
        <v>0</v>
      </c>
      <c r="M4" s="131" t="s">
        <v>6</v>
      </c>
    </row>
    <row r="5" spans="1:13" ht="63" customHeight="1" thickTop="1" thickBot="1" x14ac:dyDescent="0.3">
      <c r="A5" s="138">
        <v>54</v>
      </c>
      <c r="B5" s="131" t="s">
        <v>25</v>
      </c>
      <c r="C5" s="131" t="s">
        <v>71</v>
      </c>
      <c r="D5" s="131" t="s">
        <v>473</v>
      </c>
      <c r="E5" s="131" t="s">
        <v>474</v>
      </c>
      <c r="F5" s="138">
        <v>4</v>
      </c>
      <c r="G5" s="140">
        <v>1000000</v>
      </c>
      <c r="H5" s="138">
        <v>2</v>
      </c>
      <c r="I5" s="189" t="s">
        <v>840</v>
      </c>
      <c r="J5" s="141" t="s">
        <v>1</v>
      </c>
      <c r="K5" s="141" t="s">
        <v>1</v>
      </c>
      <c r="L5" s="230">
        <v>450629</v>
      </c>
      <c r="M5" s="131" t="s">
        <v>6</v>
      </c>
    </row>
    <row r="6" spans="1:13" ht="72.75" customHeight="1" thickTop="1" thickBot="1" x14ac:dyDescent="0.3">
      <c r="A6" s="138">
        <v>54</v>
      </c>
      <c r="B6" s="131" t="s">
        <v>25</v>
      </c>
      <c r="C6" s="131" t="s">
        <v>71</v>
      </c>
      <c r="D6" s="131" t="s">
        <v>475</v>
      </c>
      <c r="E6" s="131" t="s">
        <v>476</v>
      </c>
      <c r="F6" s="141">
        <v>1</v>
      </c>
      <c r="G6" s="140" t="s">
        <v>11</v>
      </c>
      <c r="H6" s="141">
        <v>1</v>
      </c>
      <c r="I6" s="188" t="s">
        <v>704</v>
      </c>
      <c r="J6" s="141" t="s">
        <v>1</v>
      </c>
      <c r="K6" s="141" t="s">
        <v>1</v>
      </c>
      <c r="L6" s="141" t="s">
        <v>13</v>
      </c>
      <c r="M6" s="131" t="s">
        <v>6</v>
      </c>
    </row>
    <row r="7" spans="1:13" ht="84.75" customHeight="1" thickTop="1" thickBot="1" x14ac:dyDescent="0.3">
      <c r="A7" s="138">
        <v>54</v>
      </c>
      <c r="B7" s="131" t="s">
        <v>25</v>
      </c>
      <c r="C7" s="131" t="s">
        <v>70</v>
      </c>
      <c r="D7" s="131" t="s">
        <v>477</v>
      </c>
      <c r="E7" s="131" t="s">
        <v>478</v>
      </c>
      <c r="F7" s="138">
        <v>10</v>
      </c>
      <c r="G7" s="140" t="s">
        <v>13</v>
      </c>
      <c r="H7" s="131">
        <v>10</v>
      </c>
      <c r="I7" s="189" t="s">
        <v>705</v>
      </c>
      <c r="J7" s="141" t="s">
        <v>1</v>
      </c>
      <c r="K7" s="141" t="s">
        <v>1</v>
      </c>
      <c r="L7" s="141" t="s">
        <v>13</v>
      </c>
      <c r="M7" s="131" t="s">
        <v>6</v>
      </c>
    </row>
    <row r="8" spans="1:13" ht="75.75" customHeight="1" thickTop="1" thickBot="1" x14ac:dyDescent="0.3">
      <c r="A8" s="138">
        <v>54</v>
      </c>
      <c r="B8" s="131" t="s">
        <v>25</v>
      </c>
      <c r="C8" s="131" t="s">
        <v>156</v>
      </c>
      <c r="D8" s="131" t="s">
        <v>480</v>
      </c>
      <c r="E8" s="131" t="s">
        <v>479</v>
      </c>
      <c r="F8" s="142">
        <v>3</v>
      </c>
      <c r="G8" s="142" t="s">
        <v>11</v>
      </c>
      <c r="H8" s="142">
        <v>6</v>
      </c>
      <c r="I8" s="191" t="s">
        <v>872</v>
      </c>
      <c r="J8" s="141" t="s">
        <v>1</v>
      </c>
      <c r="K8" s="141" t="s">
        <v>1</v>
      </c>
      <c r="L8" s="141" t="s">
        <v>13</v>
      </c>
      <c r="M8" s="131" t="s">
        <v>156</v>
      </c>
    </row>
    <row r="9" spans="1:13" s="23" customFormat="1" ht="63.75" customHeight="1" thickTop="1" thickBot="1" x14ac:dyDescent="0.3">
      <c r="A9" s="138">
        <v>54</v>
      </c>
      <c r="B9" s="131" t="s">
        <v>25</v>
      </c>
      <c r="C9" s="131" t="s">
        <v>73</v>
      </c>
      <c r="D9" s="131" t="s">
        <v>481</v>
      </c>
      <c r="E9" s="131" t="s">
        <v>482</v>
      </c>
      <c r="F9" s="142">
        <v>1</v>
      </c>
      <c r="G9" s="142" t="s">
        <v>11</v>
      </c>
      <c r="H9" s="142">
        <v>2</v>
      </c>
      <c r="I9" s="231" t="s">
        <v>841</v>
      </c>
      <c r="J9" s="141" t="s">
        <v>1</v>
      </c>
      <c r="K9" s="141" t="s">
        <v>1</v>
      </c>
      <c r="L9" s="141" t="s">
        <v>13</v>
      </c>
      <c r="M9" s="131" t="s">
        <v>108</v>
      </c>
    </row>
    <row r="10" spans="1:13" ht="59.25" customHeight="1" thickTop="1" thickBot="1" x14ac:dyDescent="0.3">
      <c r="A10" s="138">
        <v>54</v>
      </c>
      <c r="B10" s="131" t="s">
        <v>25</v>
      </c>
      <c r="C10" s="131" t="s">
        <v>73</v>
      </c>
      <c r="D10" s="131" t="s">
        <v>481</v>
      </c>
      <c r="E10" s="131" t="s">
        <v>483</v>
      </c>
      <c r="F10" s="138">
        <v>4</v>
      </c>
      <c r="G10" s="140" t="s">
        <v>11</v>
      </c>
      <c r="H10" s="131">
        <v>2</v>
      </c>
      <c r="I10" s="232" t="s">
        <v>842</v>
      </c>
      <c r="J10" s="131" t="s">
        <v>843</v>
      </c>
      <c r="K10" s="131" t="s">
        <v>844</v>
      </c>
      <c r="L10" s="141" t="s">
        <v>13</v>
      </c>
      <c r="M10" s="131" t="s">
        <v>108</v>
      </c>
    </row>
    <row r="11" spans="1:13" ht="108" customHeight="1" thickTop="1" thickBot="1" x14ac:dyDescent="0.3">
      <c r="A11" s="138">
        <v>54</v>
      </c>
      <c r="B11" s="131" t="s">
        <v>25</v>
      </c>
      <c r="C11" s="131" t="s">
        <v>109</v>
      </c>
      <c r="D11" s="131" t="s">
        <v>484</v>
      </c>
      <c r="E11" s="131" t="s">
        <v>66</v>
      </c>
      <c r="F11" s="141">
        <v>1</v>
      </c>
      <c r="G11" s="141" t="s">
        <v>11</v>
      </c>
      <c r="H11" s="141">
        <v>1</v>
      </c>
      <c r="I11" s="203" t="s">
        <v>1410</v>
      </c>
      <c r="J11" s="141" t="s">
        <v>1</v>
      </c>
      <c r="K11" s="141" t="s">
        <v>1</v>
      </c>
      <c r="L11" s="141" t="s">
        <v>13</v>
      </c>
      <c r="M11" s="131" t="s">
        <v>67</v>
      </c>
    </row>
    <row r="12" spans="1:13" ht="66.75" customHeight="1" thickTop="1" thickBot="1" x14ac:dyDescent="0.3">
      <c r="A12" s="138">
        <v>46</v>
      </c>
      <c r="B12" s="131" t="s">
        <v>18</v>
      </c>
      <c r="C12" s="131" t="s">
        <v>81</v>
      </c>
      <c r="D12" s="131" t="s">
        <v>485</v>
      </c>
      <c r="E12" s="131" t="s">
        <v>19</v>
      </c>
      <c r="F12" s="141">
        <v>1</v>
      </c>
      <c r="G12" s="140" t="s">
        <v>13</v>
      </c>
      <c r="H12" s="143">
        <v>0.5</v>
      </c>
      <c r="I12" s="188" t="s">
        <v>871</v>
      </c>
      <c r="J12" s="143" t="s">
        <v>1</v>
      </c>
      <c r="K12" s="143" t="s">
        <v>1</v>
      </c>
      <c r="L12" s="141" t="s">
        <v>13</v>
      </c>
      <c r="M12" s="131" t="s">
        <v>17</v>
      </c>
    </row>
    <row r="13" spans="1:13" ht="62.25" customHeight="1" thickTop="1" thickBot="1" x14ac:dyDescent="0.3">
      <c r="A13" s="144">
        <v>46</v>
      </c>
      <c r="B13" s="132" t="s">
        <v>18</v>
      </c>
      <c r="C13" s="145" t="s">
        <v>76</v>
      </c>
      <c r="D13" s="132" t="s">
        <v>20</v>
      </c>
      <c r="E13" s="132" t="s">
        <v>486</v>
      </c>
      <c r="F13" s="144">
        <v>4</v>
      </c>
      <c r="G13" s="146" t="s">
        <v>13</v>
      </c>
      <c r="H13" s="132">
        <v>2</v>
      </c>
      <c r="I13" s="192" t="s">
        <v>706</v>
      </c>
      <c r="J13" s="132" t="s">
        <v>1</v>
      </c>
      <c r="K13" s="132" t="s">
        <v>1</v>
      </c>
      <c r="L13" s="141" t="s">
        <v>13</v>
      </c>
      <c r="M13" s="132" t="s">
        <v>17</v>
      </c>
    </row>
    <row r="14" spans="1:13" ht="15.75" thickTop="1" x14ac:dyDescent="0.25"/>
  </sheetData>
  <mergeCells count="1">
    <mergeCell ref="A1:M1"/>
  </mergeCells>
  <pageMargins left="0.70866141732283472" right="0.70866141732283472" top="0.74803149606299213" bottom="0.74803149606299213" header="0.31496062992125984" footer="0.31496062992125984"/>
  <pageSetup paperSize="9" scale="65" fitToHeight="0" orientation="landscape" r:id="rId1"/>
  <headerFooter>
    <oddFooter>&amp;L&amp;N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45"/>
  <sheetViews>
    <sheetView view="pageBreakPreview" topLeftCell="A40" zoomScale="90" zoomScaleNormal="100" zoomScaleSheetLayoutView="90" workbookViewId="0">
      <selection activeCell="F52" sqref="F52"/>
    </sheetView>
  </sheetViews>
  <sheetFormatPr defaultColWidth="23.5703125" defaultRowHeight="26.25" customHeight="1" x14ac:dyDescent="0.2"/>
  <cols>
    <col min="1" max="1" width="8" style="249" customWidth="1"/>
    <col min="2" max="2" width="28" style="249" customWidth="1"/>
    <col min="3" max="5" width="23.5703125" style="250"/>
    <col min="6" max="6" width="26" style="242" customWidth="1"/>
    <col min="7" max="16384" width="23.5703125" style="242"/>
  </cols>
  <sheetData>
    <row r="1" spans="1:6" ht="26.25" customHeight="1" thickBot="1" x14ac:dyDescent="0.25">
      <c r="A1" s="557" t="s">
        <v>892</v>
      </c>
      <c r="B1" s="557"/>
      <c r="C1" s="557"/>
      <c r="D1" s="557"/>
      <c r="E1" s="557"/>
      <c r="F1" s="558"/>
    </row>
    <row r="2" spans="1:6" s="245" customFormat="1" ht="40.5" customHeight="1" thickTop="1" thickBot="1" x14ac:dyDescent="0.25">
      <c r="A2" s="199" t="s">
        <v>893</v>
      </c>
      <c r="B2" s="199" t="s">
        <v>3</v>
      </c>
      <c r="C2" s="243" t="s">
        <v>894</v>
      </c>
      <c r="D2" s="244" t="s">
        <v>637</v>
      </c>
      <c r="E2" s="243" t="s">
        <v>895</v>
      </c>
      <c r="F2" s="198" t="s">
        <v>896</v>
      </c>
    </row>
    <row r="3" spans="1:6" s="247" customFormat="1" ht="26.25" customHeight="1" thickTop="1" thickBot="1" x14ac:dyDescent="0.25">
      <c r="A3" s="157">
        <v>1</v>
      </c>
      <c r="B3" s="157" t="s">
        <v>897</v>
      </c>
      <c r="C3" s="246">
        <v>300000</v>
      </c>
      <c r="D3" s="246">
        <v>0</v>
      </c>
      <c r="E3" s="246">
        <f t="shared" ref="E3:E28" si="0">C3-D3</f>
        <v>300000</v>
      </c>
      <c r="F3" s="157" t="s">
        <v>734</v>
      </c>
    </row>
    <row r="4" spans="1:6" ht="26.25" customHeight="1" thickTop="1" thickBot="1" x14ac:dyDescent="0.25">
      <c r="A4" s="248">
        <v>2</v>
      </c>
      <c r="B4" s="248" t="s">
        <v>898</v>
      </c>
      <c r="C4" s="246">
        <f>1408534+1439440</f>
        <v>2847974</v>
      </c>
      <c r="D4" s="246">
        <v>0</v>
      </c>
      <c r="E4" s="246">
        <f t="shared" si="0"/>
        <v>2847974</v>
      </c>
      <c r="F4" s="248" t="s">
        <v>899</v>
      </c>
    </row>
    <row r="5" spans="1:6" ht="26.25" customHeight="1" thickTop="1" thickBot="1" x14ac:dyDescent="0.25">
      <c r="A5" s="248">
        <v>3</v>
      </c>
      <c r="B5" s="248" t="s">
        <v>900</v>
      </c>
      <c r="C5" s="246">
        <f>4450890.4</f>
        <v>4450890.4000000004</v>
      </c>
      <c r="D5" s="246">
        <v>0</v>
      </c>
      <c r="E5" s="246">
        <f t="shared" si="0"/>
        <v>4450890.4000000004</v>
      </c>
      <c r="F5" s="248" t="s">
        <v>901</v>
      </c>
    </row>
    <row r="6" spans="1:6" ht="26.25" customHeight="1" thickTop="1" thickBot="1" x14ac:dyDescent="0.25">
      <c r="A6" s="248">
        <v>4</v>
      </c>
      <c r="B6" s="248" t="s">
        <v>902</v>
      </c>
      <c r="C6" s="246">
        <f>4190924.84</f>
        <v>4190924.84</v>
      </c>
      <c r="D6" s="246">
        <v>0</v>
      </c>
      <c r="E6" s="246">
        <f t="shared" si="0"/>
        <v>4190924.84</v>
      </c>
      <c r="F6" s="248" t="s">
        <v>903</v>
      </c>
    </row>
    <row r="7" spans="1:6" ht="26.25" customHeight="1" thickTop="1" thickBot="1" x14ac:dyDescent="0.25">
      <c r="A7" s="248">
        <v>5</v>
      </c>
      <c r="B7" s="248" t="s">
        <v>904</v>
      </c>
      <c r="C7" s="246">
        <v>4578947.3600000003</v>
      </c>
      <c r="D7" s="246">
        <v>0</v>
      </c>
      <c r="E7" s="246">
        <f t="shared" si="0"/>
        <v>4578947.3600000003</v>
      </c>
      <c r="F7" s="248" t="s">
        <v>712</v>
      </c>
    </row>
    <row r="8" spans="1:6" ht="26.25" customHeight="1" thickTop="1" thickBot="1" x14ac:dyDescent="0.25">
      <c r="A8" s="248">
        <v>6</v>
      </c>
      <c r="B8" s="248" t="s">
        <v>905</v>
      </c>
      <c r="C8" s="246">
        <f>263675</f>
        <v>263675</v>
      </c>
      <c r="D8" s="246">
        <v>0</v>
      </c>
      <c r="E8" s="246">
        <f t="shared" si="0"/>
        <v>263675</v>
      </c>
      <c r="F8" s="248" t="s">
        <v>906</v>
      </c>
    </row>
    <row r="9" spans="1:6" ht="26.25" customHeight="1" thickTop="1" thickBot="1" x14ac:dyDescent="0.25">
      <c r="A9" s="248">
        <v>7</v>
      </c>
      <c r="B9" s="248" t="s">
        <v>907</v>
      </c>
      <c r="C9" s="246">
        <v>223222.22</v>
      </c>
      <c r="D9" s="246">
        <v>0</v>
      </c>
      <c r="E9" s="246">
        <f t="shared" si="0"/>
        <v>223222.22</v>
      </c>
      <c r="F9" s="248" t="s">
        <v>908</v>
      </c>
    </row>
    <row r="10" spans="1:6" ht="26.25" customHeight="1" thickTop="1" thickBot="1" x14ac:dyDescent="0.25">
      <c r="A10" s="248">
        <v>8</v>
      </c>
      <c r="B10" s="248" t="s">
        <v>909</v>
      </c>
      <c r="C10" s="246">
        <v>239981.44</v>
      </c>
      <c r="D10" s="246">
        <v>0</v>
      </c>
      <c r="E10" s="246">
        <f t="shared" si="0"/>
        <v>239981.44</v>
      </c>
      <c r="F10" s="248" t="s">
        <v>906</v>
      </c>
    </row>
    <row r="11" spans="1:6" ht="26.25" customHeight="1" thickTop="1" thickBot="1" x14ac:dyDescent="0.25">
      <c r="A11" s="248">
        <v>9</v>
      </c>
      <c r="B11" s="248" t="s">
        <v>910</v>
      </c>
      <c r="C11" s="246">
        <v>223222.22</v>
      </c>
      <c r="D11" s="246">
        <v>0</v>
      </c>
      <c r="E11" s="246">
        <f t="shared" si="0"/>
        <v>223222.22</v>
      </c>
      <c r="F11" s="248" t="s">
        <v>906</v>
      </c>
    </row>
    <row r="12" spans="1:6" ht="26.25" customHeight="1" thickTop="1" thickBot="1" x14ac:dyDescent="0.25">
      <c r="A12" s="248">
        <v>10</v>
      </c>
      <c r="B12" s="248" t="s">
        <v>911</v>
      </c>
      <c r="C12" s="246">
        <f>5300000</f>
        <v>5300000</v>
      </c>
      <c r="D12" s="246">
        <v>615553.9</v>
      </c>
      <c r="E12" s="246">
        <f t="shared" si="0"/>
        <v>4684446.0999999996</v>
      </c>
      <c r="F12" s="248" t="s">
        <v>912</v>
      </c>
    </row>
    <row r="13" spans="1:6" ht="26.25" customHeight="1" thickTop="1" thickBot="1" x14ac:dyDescent="0.25">
      <c r="A13" s="248">
        <v>11</v>
      </c>
      <c r="B13" s="248" t="s">
        <v>913</v>
      </c>
      <c r="C13" s="246">
        <f>4733836</f>
        <v>4733836</v>
      </c>
      <c r="D13" s="246">
        <v>852050</v>
      </c>
      <c r="E13" s="246">
        <f t="shared" si="0"/>
        <v>3881786</v>
      </c>
      <c r="F13" s="248" t="s">
        <v>914</v>
      </c>
    </row>
    <row r="14" spans="1:6" s="247" customFormat="1" ht="26.25" customHeight="1" thickTop="1" thickBot="1" x14ac:dyDescent="0.25">
      <c r="A14" s="157">
        <v>12</v>
      </c>
      <c r="B14" s="157" t="s">
        <v>915</v>
      </c>
      <c r="C14" s="246">
        <v>2080000</v>
      </c>
      <c r="D14" s="246">
        <v>0</v>
      </c>
      <c r="E14" s="246">
        <f t="shared" si="0"/>
        <v>2080000</v>
      </c>
      <c r="F14" s="157" t="s">
        <v>916</v>
      </c>
    </row>
    <row r="15" spans="1:6" s="247" customFormat="1" ht="26.25" customHeight="1" thickTop="1" thickBot="1" x14ac:dyDescent="0.25">
      <c r="A15" s="157">
        <v>13</v>
      </c>
      <c r="B15" s="157" t="s">
        <v>917</v>
      </c>
      <c r="C15" s="246">
        <f>2916000</f>
        <v>2916000</v>
      </c>
      <c r="D15" s="246">
        <v>2055166</v>
      </c>
      <c r="E15" s="246">
        <f t="shared" si="0"/>
        <v>860834</v>
      </c>
      <c r="F15" s="157" t="s">
        <v>918</v>
      </c>
    </row>
    <row r="16" spans="1:6" s="247" customFormat="1" ht="26.25" customHeight="1" thickTop="1" thickBot="1" x14ac:dyDescent="0.25">
      <c r="A16" s="157">
        <v>14</v>
      </c>
      <c r="B16" s="157" t="s">
        <v>919</v>
      </c>
      <c r="C16" s="246">
        <f>3337200</f>
        <v>3337200</v>
      </c>
      <c r="D16" s="246">
        <v>0</v>
      </c>
      <c r="E16" s="246">
        <f t="shared" si="0"/>
        <v>3337200</v>
      </c>
      <c r="F16" s="157" t="s">
        <v>920</v>
      </c>
    </row>
    <row r="17" spans="1:6" s="247" customFormat="1" ht="26.25" customHeight="1" thickTop="1" thickBot="1" x14ac:dyDescent="0.25">
      <c r="A17" s="157">
        <v>15</v>
      </c>
      <c r="B17" s="157" t="s">
        <v>921</v>
      </c>
      <c r="C17" s="246">
        <f>5953631.68</f>
        <v>5953631.6799999997</v>
      </c>
      <c r="D17" s="246">
        <v>430087.8</v>
      </c>
      <c r="E17" s="246">
        <f t="shared" si="0"/>
        <v>5523543.8799999999</v>
      </c>
      <c r="F17" s="157" t="s">
        <v>922</v>
      </c>
    </row>
    <row r="18" spans="1:6" ht="26.25" customHeight="1" thickTop="1" thickBot="1" x14ac:dyDescent="0.25">
      <c r="A18" s="248">
        <v>16</v>
      </c>
      <c r="B18" s="157" t="s">
        <v>923</v>
      </c>
      <c r="C18" s="246">
        <f>7623720</f>
        <v>7623720</v>
      </c>
      <c r="D18" s="246">
        <v>2159446</v>
      </c>
      <c r="E18" s="246">
        <f t="shared" si="0"/>
        <v>5464274</v>
      </c>
      <c r="F18" s="157" t="s">
        <v>924</v>
      </c>
    </row>
    <row r="19" spans="1:6" ht="26.25" customHeight="1" thickTop="1" thickBot="1" x14ac:dyDescent="0.25">
      <c r="A19" s="248">
        <v>17</v>
      </c>
      <c r="B19" s="248" t="s">
        <v>925</v>
      </c>
      <c r="C19" s="246">
        <v>5126336.25</v>
      </c>
      <c r="D19" s="246">
        <v>3496580</v>
      </c>
      <c r="E19" s="246">
        <f t="shared" si="0"/>
        <v>1629756.25</v>
      </c>
      <c r="F19" s="248" t="s">
        <v>926</v>
      </c>
    </row>
    <row r="20" spans="1:6" ht="26.25" customHeight="1" thickTop="1" thickBot="1" x14ac:dyDescent="0.25">
      <c r="A20" s="248">
        <v>18</v>
      </c>
      <c r="B20" s="248" t="s">
        <v>927</v>
      </c>
      <c r="C20" s="246">
        <v>159819.14000000001</v>
      </c>
      <c r="D20" s="246">
        <v>0</v>
      </c>
      <c r="E20" s="246">
        <f t="shared" si="0"/>
        <v>159819.14000000001</v>
      </c>
      <c r="F20" s="248" t="s">
        <v>899</v>
      </c>
    </row>
    <row r="21" spans="1:6" ht="26.25" customHeight="1" thickTop="1" thickBot="1" x14ac:dyDescent="0.25">
      <c r="A21" s="248">
        <v>19</v>
      </c>
      <c r="B21" s="248" t="s">
        <v>928</v>
      </c>
      <c r="C21" s="246">
        <v>840730</v>
      </c>
      <c r="D21" s="246">
        <v>0</v>
      </c>
      <c r="E21" s="246">
        <f t="shared" si="0"/>
        <v>840730</v>
      </c>
      <c r="F21" s="248" t="s">
        <v>929</v>
      </c>
    </row>
    <row r="22" spans="1:6" ht="26.25" customHeight="1" thickTop="1" thickBot="1" x14ac:dyDescent="0.25">
      <c r="A22" s="248">
        <v>20</v>
      </c>
      <c r="B22" s="248" t="s">
        <v>930</v>
      </c>
      <c r="C22" s="246">
        <v>4320000</v>
      </c>
      <c r="D22" s="246">
        <v>0</v>
      </c>
      <c r="E22" s="246">
        <f t="shared" si="0"/>
        <v>4320000</v>
      </c>
      <c r="F22" s="248" t="s">
        <v>931</v>
      </c>
    </row>
    <row r="23" spans="1:6" s="247" customFormat="1" ht="26.25" customHeight="1" thickTop="1" thickBot="1" x14ac:dyDescent="0.25">
      <c r="A23" s="157">
        <v>21</v>
      </c>
      <c r="B23" s="157" t="s">
        <v>932</v>
      </c>
      <c r="C23" s="246">
        <v>2000000</v>
      </c>
      <c r="D23" s="246">
        <v>0</v>
      </c>
      <c r="E23" s="246">
        <f t="shared" si="0"/>
        <v>2000000</v>
      </c>
      <c r="F23" s="157" t="s">
        <v>933</v>
      </c>
    </row>
    <row r="24" spans="1:6" ht="26.25" customHeight="1" thickTop="1" thickBot="1" x14ac:dyDescent="0.25">
      <c r="A24" s="248">
        <v>22</v>
      </c>
      <c r="B24" s="248" t="s">
        <v>934</v>
      </c>
      <c r="C24" s="246">
        <v>1000000</v>
      </c>
      <c r="D24" s="246">
        <f>25695+170721.27</f>
        <v>196416.27</v>
      </c>
      <c r="E24" s="246">
        <f t="shared" si="0"/>
        <v>803583.73</v>
      </c>
      <c r="F24" s="248" t="s">
        <v>918</v>
      </c>
    </row>
    <row r="25" spans="1:6" ht="26.25" customHeight="1" thickTop="1" thickBot="1" x14ac:dyDescent="0.25">
      <c r="A25" s="248">
        <v>23</v>
      </c>
      <c r="B25" s="157" t="s">
        <v>935</v>
      </c>
      <c r="C25" s="246">
        <v>650000</v>
      </c>
      <c r="D25" s="246">
        <v>0</v>
      </c>
      <c r="E25" s="246">
        <f t="shared" si="0"/>
        <v>650000</v>
      </c>
      <c r="F25" s="157" t="s">
        <v>936</v>
      </c>
    </row>
    <row r="26" spans="1:6" ht="26.25" customHeight="1" thickTop="1" thickBot="1" x14ac:dyDescent="0.25">
      <c r="A26" s="248">
        <v>24</v>
      </c>
      <c r="B26" s="248" t="s">
        <v>937</v>
      </c>
      <c r="C26" s="246">
        <v>610014</v>
      </c>
      <c r="D26" s="246">
        <v>0</v>
      </c>
      <c r="E26" s="246">
        <f t="shared" si="0"/>
        <v>610014</v>
      </c>
      <c r="F26" s="248" t="s">
        <v>712</v>
      </c>
    </row>
    <row r="27" spans="1:6" ht="26.25" customHeight="1" thickTop="1" thickBot="1" x14ac:dyDescent="0.25">
      <c r="A27" s="248">
        <v>25</v>
      </c>
      <c r="B27" s="248" t="s">
        <v>938</v>
      </c>
      <c r="C27" s="246">
        <v>2600000</v>
      </c>
      <c r="D27" s="246">
        <v>0</v>
      </c>
      <c r="E27" s="246">
        <f t="shared" si="0"/>
        <v>2600000</v>
      </c>
      <c r="F27" s="248" t="s">
        <v>712</v>
      </c>
    </row>
    <row r="28" spans="1:6" ht="26.25" customHeight="1" thickTop="1" thickBot="1" x14ac:dyDescent="0.25">
      <c r="A28" s="248">
        <v>26</v>
      </c>
      <c r="B28" s="157" t="s">
        <v>939</v>
      </c>
      <c r="C28" s="246">
        <v>566834</v>
      </c>
      <c r="D28" s="246">
        <v>0</v>
      </c>
      <c r="E28" s="246">
        <f t="shared" si="0"/>
        <v>566834</v>
      </c>
      <c r="F28" s="157" t="s">
        <v>712</v>
      </c>
    </row>
    <row r="29" spans="1:6" ht="26.25" customHeight="1" thickTop="1" x14ac:dyDescent="0.2"/>
    <row r="30" spans="1:6" s="38" customFormat="1" ht="26.25" customHeight="1" thickBot="1" x14ac:dyDescent="0.25">
      <c r="A30" s="557" t="s">
        <v>940</v>
      </c>
      <c r="B30" s="557"/>
      <c r="C30" s="557"/>
      <c r="D30" s="557"/>
      <c r="E30" s="557"/>
      <c r="F30" s="558"/>
    </row>
    <row r="31" spans="1:6" s="251" customFormat="1" ht="26.25" customHeight="1" thickTop="1" thickBot="1" x14ac:dyDescent="0.25">
      <c r="A31" s="531" t="s">
        <v>893</v>
      </c>
      <c r="B31" s="531" t="s">
        <v>3</v>
      </c>
      <c r="C31" s="559" t="s">
        <v>941</v>
      </c>
      <c r="D31" s="560" t="s">
        <v>637</v>
      </c>
      <c r="E31" s="559" t="s">
        <v>895</v>
      </c>
      <c r="F31" s="562" t="s">
        <v>896</v>
      </c>
    </row>
    <row r="32" spans="1:6" s="252" customFormat="1" ht="26.25" customHeight="1" thickTop="1" thickBot="1" x14ac:dyDescent="0.25">
      <c r="A32" s="531"/>
      <c r="B32" s="531"/>
      <c r="C32" s="559"/>
      <c r="D32" s="561"/>
      <c r="E32" s="559"/>
      <c r="F32" s="562"/>
    </row>
    <row r="33" spans="1:7" s="38" customFormat="1" ht="26.25" customHeight="1" thickTop="1" thickBot="1" x14ac:dyDescent="0.25">
      <c r="A33" s="157">
        <v>27</v>
      </c>
      <c r="B33" s="157" t="s">
        <v>942</v>
      </c>
      <c r="C33" s="246">
        <v>4952938</v>
      </c>
      <c r="D33" s="246">
        <v>1914168.73</v>
      </c>
      <c r="E33" s="246">
        <f t="shared" ref="E33:E44" si="1">C33-D33</f>
        <v>3038769.27</v>
      </c>
      <c r="F33" s="157" t="s">
        <v>943</v>
      </c>
      <c r="G33" s="253"/>
    </row>
    <row r="34" spans="1:7" s="38" customFormat="1" ht="26.25" customHeight="1" thickTop="1" thickBot="1" x14ac:dyDescent="0.25">
      <c r="A34" s="157">
        <v>28</v>
      </c>
      <c r="B34" s="157" t="s">
        <v>944</v>
      </c>
      <c r="C34" s="246">
        <v>1625921</v>
      </c>
      <c r="D34" s="246">
        <f>1092050+520128.46</f>
        <v>1612178.46</v>
      </c>
      <c r="E34" s="246">
        <f t="shared" si="1"/>
        <v>13742.540000000037</v>
      </c>
      <c r="F34" s="157" t="s">
        <v>918</v>
      </c>
    </row>
    <row r="35" spans="1:7" s="38" customFormat="1" ht="26.25" customHeight="1" thickTop="1" thickBot="1" x14ac:dyDescent="0.25">
      <c r="A35" s="175">
        <v>29</v>
      </c>
      <c r="B35" s="175" t="s">
        <v>945</v>
      </c>
      <c r="C35" s="246">
        <v>3476490</v>
      </c>
      <c r="D35" s="246">
        <f>2720948.28</f>
        <v>2720948.28</v>
      </c>
      <c r="E35" s="246">
        <f t="shared" si="1"/>
        <v>755541.7200000002</v>
      </c>
      <c r="F35" s="157" t="s">
        <v>946</v>
      </c>
      <c r="G35" s="253"/>
    </row>
    <row r="36" spans="1:7" s="38" customFormat="1" ht="26.25" customHeight="1" thickTop="1" thickBot="1" x14ac:dyDescent="0.25">
      <c r="A36" s="157">
        <v>30</v>
      </c>
      <c r="B36" s="248" t="s">
        <v>947</v>
      </c>
      <c r="C36" s="246">
        <v>478582.5</v>
      </c>
      <c r="D36" s="246">
        <v>0</v>
      </c>
      <c r="E36" s="246">
        <f t="shared" si="1"/>
        <v>478582.5</v>
      </c>
      <c r="F36" s="157" t="s">
        <v>906</v>
      </c>
    </row>
    <row r="37" spans="1:7" s="38" customFormat="1" ht="26.25" customHeight="1" thickTop="1" thickBot="1" x14ac:dyDescent="0.25">
      <c r="A37" s="175">
        <v>31</v>
      </c>
      <c r="B37" s="248" t="s">
        <v>948</v>
      </c>
      <c r="C37" s="246">
        <v>207821.91</v>
      </c>
      <c r="D37" s="246">
        <v>0</v>
      </c>
      <c r="E37" s="246">
        <f t="shared" si="1"/>
        <v>207821.91</v>
      </c>
      <c r="F37" s="157" t="s">
        <v>906</v>
      </c>
    </row>
    <row r="38" spans="1:7" s="38" customFormat="1" ht="26.25" customHeight="1" thickTop="1" thickBot="1" x14ac:dyDescent="0.25">
      <c r="A38" s="157">
        <v>32</v>
      </c>
      <c r="B38" s="166" t="s">
        <v>949</v>
      </c>
      <c r="C38" s="246">
        <v>248111.11</v>
      </c>
      <c r="D38" s="246">
        <v>0</v>
      </c>
      <c r="E38" s="246">
        <f t="shared" si="1"/>
        <v>248111.11</v>
      </c>
      <c r="F38" s="157" t="s">
        <v>906</v>
      </c>
    </row>
    <row r="39" spans="1:7" s="38" customFormat="1" ht="26.25" customHeight="1" thickTop="1" thickBot="1" x14ac:dyDescent="0.25">
      <c r="A39" s="175">
        <v>33</v>
      </c>
      <c r="B39" s="166" t="s">
        <v>950</v>
      </c>
      <c r="C39" s="246">
        <v>192111.11</v>
      </c>
      <c r="D39" s="246">
        <v>0</v>
      </c>
      <c r="E39" s="246">
        <f t="shared" si="1"/>
        <v>192111.11</v>
      </c>
      <c r="F39" s="157" t="s">
        <v>906</v>
      </c>
    </row>
    <row r="40" spans="1:7" s="38" customFormat="1" ht="26.25" customHeight="1" thickTop="1" thickBot="1" x14ac:dyDescent="0.25">
      <c r="A40" s="157">
        <v>34</v>
      </c>
      <c r="B40" s="166" t="s">
        <v>951</v>
      </c>
      <c r="C40" s="246">
        <v>229976.25</v>
      </c>
      <c r="D40" s="246">
        <v>0</v>
      </c>
      <c r="E40" s="246">
        <f t="shared" si="1"/>
        <v>229976.25</v>
      </c>
      <c r="F40" s="157" t="s">
        <v>906</v>
      </c>
    </row>
    <row r="41" spans="1:7" s="38" customFormat="1" ht="26.25" customHeight="1" thickTop="1" thickBot="1" x14ac:dyDescent="0.25">
      <c r="A41" s="175">
        <v>35</v>
      </c>
      <c r="B41" s="166" t="s">
        <v>275</v>
      </c>
      <c r="C41" s="246">
        <v>292846.15000000002</v>
      </c>
      <c r="D41" s="246">
        <v>0</v>
      </c>
      <c r="E41" s="246">
        <f t="shared" si="1"/>
        <v>292846.15000000002</v>
      </c>
      <c r="F41" s="157" t="s">
        <v>906</v>
      </c>
    </row>
    <row r="42" spans="1:7" s="38" customFormat="1" ht="26.25" customHeight="1" thickTop="1" thickBot="1" x14ac:dyDescent="0.25">
      <c r="A42" s="157">
        <v>36</v>
      </c>
      <c r="B42" s="166" t="s">
        <v>952</v>
      </c>
      <c r="C42" s="246">
        <v>221000</v>
      </c>
      <c r="D42" s="246">
        <v>0</v>
      </c>
      <c r="E42" s="246">
        <f t="shared" si="1"/>
        <v>221000</v>
      </c>
      <c r="F42" s="157" t="s">
        <v>906</v>
      </c>
    </row>
    <row r="43" spans="1:7" s="38" customFormat="1" ht="26.25" customHeight="1" thickTop="1" thickBot="1" x14ac:dyDescent="0.25">
      <c r="A43" s="175">
        <v>37</v>
      </c>
      <c r="B43" s="166" t="s">
        <v>953</v>
      </c>
      <c r="C43" s="246">
        <v>237271.93</v>
      </c>
      <c r="D43" s="246">
        <v>0</v>
      </c>
      <c r="E43" s="246">
        <f t="shared" si="1"/>
        <v>237271.93</v>
      </c>
      <c r="F43" s="157" t="s">
        <v>906</v>
      </c>
    </row>
    <row r="44" spans="1:7" s="112" customFormat="1" ht="26.25" customHeight="1" thickTop="1" thickBot="1" x14ac:dyDescent="0.25">
      <c r="A44" s="175">
        <v>38</v>
      </c>
      <c r="B44" s="175" t="s">
        <v>954</v>
      </c>
      <c r="C44" s="246">
        <v>1000000</v>
      </c>
      <c r="D44" s="246">
        <v>75190</v>
      </c>
      <c r="E44" s="246">
        <f t="shared" si="1"/>
        <v>924810</v>
      </c>
      <c r="F44" s="157" t="s">
        <v>734</v>
      </c>
    </row>
    <row r="45" spans="1:7" ht="26.25" customHeight="1" thickTop="1" x14ac:dyDescent="0.2"/>
  </sheetData>
  <mergeCells count="8">
    <mergeCell ref="A1:F1"/>
    <mergeCell ref="A30:F30"/>
    <mergeCell ref="A31:A32"/>
    <mergeCell ref="B31:B32"/>
    <mergeCell ref="C31:C32"/>
    <mergeCell ref="D31:D32"/>
    <mergeCell ref="E31:E32"/>
    <mergeCell ref="F31:F32"/>
  </mergeCells>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BreakPreview" zoomScaleNormal="100" zoomScaleSheetLayoutView="100" workbookViewId="0">
      <selection activeCell="C4" sqref="C4"/>
    </sheetView>
  </sheetViews>
  <sheetFormatPr defaultRowHeight="15" x14ac:dyDescent="0.25"/>
  <cols>
    <col min="1" max="1" width="54.7109375" customWidth="1"/>
    <col min="2" max="2" width="10" style="23" customWidth="1"/>
    <col min="3" max="3" width="15.7109375" customWidth="1"/>
    <col min="4" max="4" width="12.140625" customWidth="1"/>
    <col min="5" max="5" width="10.28515625" customWidth="1"/>
  </cols>
  <sheetData>
    <row r="1" spans="1:5" ht="18.75" x14ac:dyDescent="0.3">
      <c r="A1" s="382" t="s">
        <v>1399</v>
      </c>
      <c r="B1" s="382"/>
    </row>
    <row r="2" spans="1:5" ht="9" customHeight="1" thickBot="1" x14ac:dyDescent="0.3"/>
    <row r="3" spans="1:5" s="509" customFormat="1" ht="60.75" customHeight="1" thickTop="1" thickBot="1" x14ac:dyDescent="0.3">
      <c r="A3" s="507" t="s">
        <v>1404</v>
      </c>
      <c r="B3" s="510" t="s">
        <v>1405</v>
      </c>
      <c r="C3" s="508" t="s">
        <v>1411</v>
      </c>
      <c r="D3" s="508" t="s">
        <v>1406</v>
      </c>
      <c r="E3" s="510" t="s">
        <v>1405</v>
      </c>
    </row>
    <row r="4" spans="1:5" ht="24" customHeight="1" thickTop="1" thickBot="1" x14ac:dyDescent="0.3">
      <c r="A4" s="506" t="s">
        <v>1400</v>
      </c>
      <c r="B4" s="511">
        <v>0.4476</v>
      </c>
      <c r="C4" s="505">
        <v>38</v>
      </c>
      <c r="D4" s="505">
        <v>17</v>
      </c>
      <c r="E4" s="511">
        <v>0.4476</v>
      </c>
    </row>
    <row r="5" spans="1:5" ht="22.5" customHeight="1" thickTop="1" thickBot="1" x14ac:dyDescent="0.3">
      <c r="A5" s="504" t="s">
        <v>1401</v>
      </c>
      <c r="B5" s="511">
        <v>1.15E-2</v>
      </c>
      <c r="C5" s="505">
        <v>84</v>
      </c>
      <c r="D5" s="505">
        <v>1</v>
      </c>
      <c r="E5" s="511">
        <v>1.15E-2</v>
      </c>
    </row>
    <row r="6" spans="1:5" ht="26.25" customHeight="1" thickTop="1" thickBot="1" x14ac:dyDescent="0.3">
      <c r="A6" s="504" t="s">
        <v>47</v>
      </c>
      <c r="B6" s="511">
        <v>0.28570000000000001</v>
      </c>
      <c r="C6" s="505">
        <v>28</v>
      </c>
      <c r="D6" s="505">
        <v>8</v>
      </c>
      <c r="E6" s="511">
        <v>0.28570000000000001</v>
      </c>
    </row>
    <row r="7" spans="1:5" ht="20.25" customHeight="1" thickTop="1" thickBot="1" x14ac:dyDescent="0.3">
      <c r="A7" s="504" t="s">
        <v>1402</v>
      </c>
      <c r="B7" s="511">
        <v>0.3125</v>
      </c>
      <c r="C7" s="505">
        <v>16</v>
      </c>
      <c r="D7" s="505">
        <v>5</v>
      </c>
      <c r="E7" s="511">
        <v>0.3125</v>
      </c>
    </row>
    <row r="8" spans="1:5" ht="22.5" customHeight="1" thickTop="1" thickBot="1" x14ac:dyDescent="0.3">
      <c r="A8" s="504" t="s">
        <v>1403</v>
      </c>
      <c r="B8" s="511">
        <v>0.46510000000000001</v>
      </c>
      <c r="C8" s="505">
        <v>43</v>
      </c>
      <c r="D8" s="505">
        <v>20</v>
      </c>
      <c r="E8" s="511">
        <v>0.46510000000000001</v>
      </c>
    </row>
    <row r="9" spans="1:5" ht="16.5" thickTop="1" thickBot="1" x14ac:dyDescent="0.3">
      <c r="A9" s="13"/>
      <c r="B9" s="13"/>
    </row>
    <row r="10" spans="1:5" ht="32.25" customHeight="1" thickTop="1" thickBot="1" x14ac:dyDescent="0.3">
      <c r="C10" s="563" t="s">
        <v>1412</v>
      </c>
      <c r="D10" s="564"/>
      <c r="E10" s="565"/>
    </row>
    <row r="11" spans="1:5" ht="15.75" thickTop="1" x14ac:dyDescent="0.25"/>
  </sheetData>
  <mergeCells count="1">
    <mergeCell ref="C10:E10"/>
  </mergeCells>
  <pageMargins left="0.70866141732283472" right="0.70866141732283472" top="0.74803149606299213" bottom="0.74803149606299213" header="0.31496062992125984" footer="0.31496062992125984"/>
  <pageSetup paperSize="9" scale="70" orientation="portrait" r:id="rId1"/>
  <headerFooter>
    <oddFooter>&amp;L&amp;N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view="pageBreakPreview" topLeftCell="A6" zoomScale="60" zoomScaleNormal="70" workbookViewId="0">
      <selection activeCell="F52" sqref="F52"/>
    </sheetView>
  </sheetViews>
  <sheetFormatPr defaultRowHeight="15" x14ac:dyDescent="0.25"/>
  <cols>
    <col min="2" max="2" width="78.5703125" customWidth="1"/>
  </cols>
  <sheetData>
    <row r="1" spans="1:2" ht="121.5" customHeight="1" x14ac:dyDescent="0.25">
      <c r="A1" s="23"/>
      <c r="B1" s="254" t="s">
        <v>956</v>
      </c>
    </row>
    <row r="2" spans="1:2" x14ac:dyDescent="0.25">
      <c r="A2" s="23"/>
      <c r="B2" s="23"/>
    </row>
    <row r="3" spans="1:2" x14ac:dyDescent="0.25">
      <c r="A3" s="23"/>
      <c r="B3" s="23"/>
    </row>
    <row r="4" spans="1:2" x14ac:dyDescent="0.25">
      <c r="A4" s="23"/>
      <c r="B4" s="23"/>
    </row>
    <row r="5" spans="1:2" x14ac:dyDescent="0.25">
      <c r="A5" s="23"/>
      <c r="B5" s="23"/>
    </row>
    <row r="6" spans="1:2" x14ac:dyDescent="0.25">
      <c r="A6" s="23"/>
      <c r="B6" s="23"/>
    </row>
    <row r="7" spans="1:2" x14ac:dyDescent="0.25">
      <c r="A7" s="23"/>
      <c r="B7" s="23"/>
    </row>
    <row r="8" spans="1:2" x14ac:dyDescent="0.25">
      <c r="A8" s="23"/>
      <c r="B8" s="23"/>
    </row>
    <row r="9" spans="1:2" x14ac:dyDescent="0.25">
      <c r="A9" s="23"/>
      <c r="B9" s="23"/>
    </row>
    <row r="10" spans="1:2" x14ac:dyDescent="0.25">
      <c r="A10" s="23"/>
      <c r="B10" s="23"/>
    </row>
    <row r="11" spans="1:2" x14ac:dyDescent="0.25">
      <c r="A11" s="23"/>
      <c r="B11" s="23"/>
    </row>
    <row r="12" spans="1:2" x14ac:dyDescent="0.25">
      <c r="A12" s="23"/>
      <c r="B12" s="23"/>
    </row>
    <row r="13" spans="1:2" x14ac:dyDescent="0.25">
      <c r="A13" s="23"/>
      <c r="B13" s="23"/>
    </row>
    <row r="14" spans="1:2" x14ac:dyDescent="0.25">
      <c r="A14" s="23"/>
      <c r="B14" s="23"/>
    </row>
    <row r="15" spans="1:2" x14ac:dyDescent="0.25">
      <c r="A15" s="23"/>
      <c r="B15" s="23"/>
    </row>
    <row r="16" spans="1:2" x14ac:dyDescent="0.25">
      <c r="A16" s="23"/>
      <c r="B16" s="23"/>
    </row>
    <row r="17" spans="1:2" x14ac:dyDescent="0.25">
      <c r="A17" s="23"/>
      <c r="B17" s="23"/>
    </row>
    <row r="18" spans="1:2" x14ac:dyDescent="0.25">
      <c r="A18" s="23"/>
      <c r="B18" s="23"/>
    </row>
    <row r="19" spans="1:2" x14ac:dyDescent="0.25">
      <c r="A19" s="23"/>
      <c r="B19" s="23"/>
    </row>
    <row r="20" spans="1:2" x14ac:dyDescent="0.25">
      <c r="A20" s="23"/>
      <c r="B20" s="23"/>
    </row>
    <row r="21" spans="1:2" ht="101.25" x14ac:dyDescent="0.5">
      <c r="A21" s="23"/>
      <c r="B21" s="255" t="s">
        <v>957</v>
      </c>
    </row>
    <row r="22" spans="1:2" x14ac:dyDescent="0.25">
      <c r="A22" s="23"/>
      <c r="B22" s="23"/>
    </row>
    <row r="23" spans="1:2" x14ac:dyDescent="0.25">
      <c r="A23" s="23"/>
      <c r="B23" s="23"/>
    </row>
    <row r="24" spans="1:2" x14ac:dyDescent="0.25">
      <c r="A24" s="23"/>
      <c r="B24" s="23"/>
    </row>
    <row r="25" spans="1:2" ht="10.5" customHeight="1" x14ac:dyDescent="0.25">
      <c r="A25" s="23"/>
      <c r="B25" s="23"/>
    </row>
    <row r="26" spans="1:2" hidden="1" x14ac:dyDescent="0.25">
      <c r="A26" s="23"/>
      <c r="B26" s="23"/>
    </row>
    <row r="27" spans="1:2" hidden="1" x14ac:dyDescent="0.25">
      <c r="A27" s="23"/>
      <c r="B27" s="23"/>
    </row>
    <row r="28" spans="1:2" ht="26.25" customHeight="1" x14ac:dyDescent="0.25">
      <c r="A28" s="23"/>
      <c r="B28" s="23"/>
    </row>
    <row r="29" spans="1:2" ht="8.25" hidden="1" customHeight="1" x14ac:dyDescent="0.25">
      <c r="A29" s="23"/>
      <c r="B29" s="23"/>
    </row>
    <row r="30" spans="1:2" hidden="1" x14ac:dyDescent="0.25">
      <c r="A30" s="23"/>
      <c r="B30" s="23"/>
    </row>
    <row r="31" spans="1:2" hidden="1" x14ac:dyDescent="0.25">
      <c r="A31" s="23"/>
      <c r="B31" s="23"/>
    </row>
    <row r="32" spans="1:2" hidden="1" x14ac:dyDescent="0.25">
      <c r="A32" s="23"/>
      <c r="B32" s="23"/>
    </row>
    <row r="33" spans="1:1" ht="67.5" customHeight="1" x14ac:dyDescent="0.25">
      <c r="A33" s="23"/>
    </row>
  </sheetData>
  <pageMargins left="0.70866141732283472" right="0.70866141732283472" top="0.74803149606299213" bottom="0.74803149606299213" header="0.31496062992125984" footer="0.31496062992125984"/>
  <pageSetup paperSize="9" scale="70" fitToHeight="0" orientation="portrait" r:id="rId1"/>
  <headerFooter>
    <oddFooter>&amp;L&amp;N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5"/>
  <sheetViews>
    <sheetView view="pageBreakPreview" topLeftCell="A223" zoomScaleNormal="100" zoomScaleSheetLayoutView="100" workbookViewId="0">
      <selection activeCell="F52" sqref="F52"/>
    </sheetView>
  </sheetViews>
  <sheetFormatPr defaultRowHeight="15" x14ac:dyDescent="0.25"/>
  <cols>
    <col min="1" max="1" width="26.28515625" customWidth="1"/>
    <col min="2" max="2" width="13.7109375" customWidth="1"/>
    <col min="3" max="3" width="13.28515625" customWidth="1"/>
    <col min="4" max="4" width="15" customWidth="1"/>
    <col min="5" max="5" width="37.7109375" customWidth="1"/>
  </cols>
  <sheetData>
    <row r="1" spans="1:6" ht="18.75" x14ac:dyDescent="0.3">
      <c r="A1" s="350" t="s">
        <v>1123</v>
      </c>
      <c r="B1" s="350"/>
      <c r="C1" s="350"/>
      <c r="D1" s="348"/>
      <c r="E1" s="347"/>
      <c r="F1" s="349"/>
    </row>
    <row r="2" spans="1:6" x14ac:dyDescent="0.25">
      <c r="A2" s="349"/>
      <c r="B2" s="349"/>
      <c r="C2" s="349"/>
      <c r="D2" s="348"/>
      <c r="E2" s="347" t="s">
        <v>1122</v>
      </c>
      <c r="F2" s="349"/>
    </row>
    <row r="3" spans="1:6" x14ac:dyDescent="0.25">
      <c r="A3" s="349" t="s">
        <v>1121</v>
      </c>
      <c r="B3" s="349"/>
      <c r="C3" s="349"/>
      <c r="D3" s="348"/>
      <c r="E3" s="347"/>
      <c r="F3" s="148"/>
    </row>
    <row r="4" spans="1:6" x14ac:dyDescent="0.25">
      <c r="A4" s="349" t="s">
        <v>1120</v>
      </c>
      <c r="B4" s="349"/>
      <c r="C4" s="349"/>
      <c r="D4" s="348"/>
      <c r="E4" s="347"/>
      <c r="F4" s="148"/>
    </row>
    <row r="5" spans="1:6" x14ac:dyDescent="0.25">
      <c r="A5" s="346" t="s">
        <v>1119</v>
      </c>
      <c r="B5" s="148"/>
      <c r="C5" s="148"/>
      <c r="D5" s="345"/>
      <c r="E5" s="344"/>
      <c r="F5" s="148"/>
    </row>
    <row r="6" spans="1:6" x14ac:dyDescent="0.25">
      <c r="A6" s="328"/>
      <c r="B6" s="338" t="s">
        <v>1118</v>
      </c>
      <c r="C6" s="338" t="s">
        <v>1117</v>
      </c>
      <c r="D6" s="335" t="s">
        <v>1116</v>
      </c>
      <c r="E6" s="291"/>
      <c r="F6" s="148"/>
    </row>
    <row r="7" spans="1:6" x14ac:dyDescent="0.25">
      <c r="A7" s="328"/>
      <c r="B7" s="338">
        <f>+B8+B9+B10+B11</f>
        <v>750000</v>
      </c>
      <c r="C7" s="338"/>
      <c r="D7" s="335"/>
      <c r="E7" s="291"/>
      <c r="F7" s="148"/>
    </row>
    <row r="8" spans="1:6" x14ac:dyDescent="0.25">
      <c r="A8" s="265" t="s">
        <v>1115</v>
      </c>
      <c r="B8" s="341">
        <v>700000</v>
      </c>
      <c r="C8" s="341"/>
      <c r="D8" s="340"/>
      <c r="E8" s="339" t="s">
        <v>1107</v>
      </c>
      <c r="F8" s="342"/>
    </row>
    <row r="9" spans="1:6" x14ac:dyDescent="0.25">
      <c r="A9" s="265" t="s">
        <v>1114</v>
      </c>
      <c r="B9" s="341">
        <v>40000</v>
      </c>
      <c r="C9" s="341"/>
      <c r="D9" s="340"/>
      <c r="E9" s="339" t="s">
        <v>1090</v>
      </c>
      <c r="F9" s="342"/>
    </row>
    <row r="10" spans="1:6" ht="48.75" x14ac:dyDescent="0.25">
      <c r="A10" s="265" t="s">
        <v>358</v>
      </c>
      <c r="B10" s="341">
        <v>5000</v>
      </c>
      <c r="C10" s="341"/>
      <c r="D10" s="340"/>
      <c r="E10" s="343" t="s">
        <v>1107</v>
      </c>
      <c r="F10" s="342"/>
    </row>
    <row r="11" spans="1:6" x14ac:dyDescent="0.25">
      <c r="A11" s="265" t="s">
        <v>359</v>
      </c>
      <c r="B11" s="341">
        <v>5000</v>
      </c>
      <c r="C11" s="341"/>
      <c r="D11" s="340"/>
      <c r="E11" s="339" t="s">
        <v>1107</v>
      </c>
      <c r="F11" s="342"/>
    </row>
    <row r="12" spans="1:6" x14ac:dyDescent="0.25">
      <c r="A12" s="265"/>
      <c r="B12" s="341"/>
      <c r="C12" s="341"/>
      <c r="D12" s="340"/>
      <c r="E12" s="339"/>
      <c r="F12" s="148"/>
    </row>
    <row r="13" spans="1:6" x14ac:dyDescent="0.25">
      <c r="A13" s="265" t="s">
        <v>1113</v>
      </c>
      <c r="B13" s="341">
        <v>0</v>
      </c>
      <c r="C13" s="341">
        <v>0</v>
      </c>
      <c r="D13" s="340">
        <v>0</v>
      </c>
      <c r="E13" s="339" t="s">
        <v>1098</v>
      </c>
      <c r="F13" s="148"/>
    </row>
    <row r="14" spans="1:6" x14ac:dyDescent="0.25">
      <c r="A14" s="336"/>
      <c r="B14" s="338"/>
      <c r="C14" s="338"/>
      <c r="D14" s="337"/>
      <c r="E14" s="291"/>
      <c r="F14" s="148"/>
    </row>
    <row r="15" spans="1:6" x14ac:dyDescent="0.25">
      <c r="A15" s="336"/>
      <c r="B15" s="328"/>
      <c r="C15" s="328"/>
      <c r="D15" s="335"/>
      <c r="E15" s="334"/>
      <c r="F15" s="148"/>
    </row>
    <row r="16" spans="1:6" x14ac:dyDescent="0.25">
      <c r="A16" s="332" t="s">
        <v>1112</v>
      </c>
      <c r="B16" s="331">
        <f>B20+B19+B18</f>
        <v>638000</v>
      </c>
      <c r="C16" s="331"/>
      <c r="D16" s="262"/>
      <c r="E16" s="314"/>
      <c r="F16" s="148"/>
    </row>
    <row r="17" spans="1:6" x14ac:dyDescent="0.25">
      <c r="A17" s="332"/>
      <c r="B17" s="331"/>
      <c r="C17" s="331"/>
      <c r="D17" s="262"/>
      <c r="E17" s="314"/>
      <c r="F17" s="148"/>
    </row>
    <row r="18" spans="1:6" x14ac:dyDescent="0.25">
      <c r="A18" s="265" t="s">
        <v>1111</v>
      </c>
      <c r="B18" s="263">
        <v>80000</v>
      </c>
      <c r="C18" s="331"/>
      <c r="D18" s="262"/>
      <c r="E18" s="295" t="s">
        <v>1107</v>
      </c>
      <c r="F18" s="148"/>
    </row>
    <row r="19" spans="1:6" ht="60.75" x14ac:dyDescent="0.25">
      <c r="A19" s="265" t="s">
        <v>1110</v>
      </c>
      <c r="B19" s="263">
        <v>8000</v>
      </c>
      <c r="C19" s="331"/>
      <c r="D19" s="262"/>
      <c r="E19" s="278" t="s">
        <v>1109</v>
      </c>
      <c r="F19" s="148"/>
    </row>
    <row r="20" spans="1:6" x14ac:dyDescent="0.25">
      <c r="A20" s="314" t="s">
        <v>1108</v>
      </c>
      <c r="B20" s="263">
        <v>550000</v>
      </c>
      <c r="C20" s="331"/>
      <c r="D20" s="262"/>
      <c r="E20" s="314" t="s">
        <v>1107</v>
      </c>
      <c r="F20" s="316"/>
    </row>
    <row r="21" spans="1:6" x14ac:dyDescent="0.25">
      <c r="A21" s="314" t="s">
        <v>1106</v>
      </c>
      <c r="B21" s="263"/>
      <c r="C21" s="263">
        <v>34593</v>
      </c>
      <c r="D21" s="262">
        <v>1560</v>
      </c>
      <c r="E21" s="323" t="s">
        <v>1105</v>
      </c>
      <c r="F21" s="256"/>
    </row>
    <row r="22" spans="1:6" x14ac:dyDescent="0.25">
      <c r="A22" s="290"/>
      <c r="B22" s="297"/>
      <c r="C22" s="297"/>
      <c r="D22" s="318"/>
      <c r="E22" s="316"/>
      <c r="F22" s="148"/>
    </row>
    <row r="23" spans="1:6" x14ac:dyDescent="0.25">
      <c r="A23" s="286" t="s">
        <v>1104</v>
      </c>
      <c r="B23" s="333">
        <f>SUM(B25:B27)</f>
        <v>305000</v>
      </c>
      <c r="C23" s="333"/>
      <c r="D23" s="318"/>
      <c r="E23" s="316"/>
      <c r="F23" s="148"/>
    </row>
    <row r="24" spans="1:6" x14ac:dyDescent="0.25">
      <c r="A24" s="290"/>
      <c r="B24" s="281"/>
      <c r="C24" s="281"/>
      <c r="D24" s="318"/>
      <c r="E24" s="316"/>
      <c r="F24" s="148"/>
    </row>
    <row r="25" spans="1:6" x14ac:dyDescent="0.25">
      <c r="A25" s="265" t="s">
        <v>1103</v>
      </c>
      <c r="B25" s="263">
        <v>30000</v>
      </c>
      <c r="C25" s="263"/>
      <c r="D25" s="262">
        <v>8205</v>
      </c>
      <c r="E25" s="278" t="s">
        <v>712</v>
      </c>
      <c r="F25" s="148"/>
    </row>
    <row r="26" spans="1:6" x14ac:dyDescent="0.25">
      <c r="A26" s="265" t="s">
        <v>1102</v>
      </c>
      <c r="B26" s="263">
        <v>175000</v>
      </c>
      <c r="C26" s="263"/>
      <c r="D26" s="262"/>
      <c r="E26" s="278" t="s">
        <v>978</v>
      </c>
      <c r="F26" s="148"/>
    </row>
    <row r="27" spans="1:6" x14ac:dyDescent="0.25">
      <c r="A27" s="265" t="s">
        <v>1101</v>
      </c>
      <c r="B27" s="263">
        <v>100000</v>
      </c>
      <c r="C27" s="263"/>
      <c r="D27" s="262"/>
      <c r="E27" s="278" t="s">
        <v>978</v>
      </c>
      <c r="F27" s="148"/>
    </row>
    <row r="28" spans="1:6" x14ac:dyDescent="0.25">
      <c r="A28" s="290"/>
      <c r="B28" s="281"/>
      <c r="C28" s="281"/>
      <c r="D28" s="318"/>
      <c r="E28" s="316"/>
      <c r="F28" s="148"/>
    </row>
    <row r="29" spans="1:6" x14ac:dyDescent="0.25">
      <c r="A29" s="290"/>
      <c r="B29" s="281"/>
      <c r="C29" s="281"/>
      <c r="D29" s="318"/>
      <c r="E29" s="316"/>
      <c r="F29" s="148"/>
    </row>
    <row r="30" spans="1:6" x14ac:dyDescent="0.25">
      <c r="A30" s="286" t="s">
        <v>1100</v>
      </c>
      <c r="B30" s="333">
        <f>SUM(B32:B35)</f>
        <v>550000</v>
      </c>
      <c r="C30" s="333"/>
      <c r="D30" s="318"/>
      <c r="E30" s="316"/>
      <c r="F30" s="148"/>
    </row>
    <row r="31" spans="1:6" x14ac:dyDescent="0.25">
      <c r="A31" s="286"/>
      <c r="B31" s="281"/>
      <c r="C31" s="281"/>
      <c r="D31" s="318"/>
      <c r="E31" s="316"/>
      <c r="F31" s="148"/>
    </row>
    <row r="32" spans="1:6" x14ac:dyDescent="0.25">
      <c r="A32" s="265" t="s">
        <v>1099</v>
      </c>
      <c r="B32" s="263">
        <v>100000</v>
      </c>
      <c r="C32" s="263"/>
      <c r="D32" s="262"/>
      <c r="E32" s="295" t="s">
        <v>1098</v>
      </c>
      <c r="F32" s="148"/>
    </row>
    <row r="33" spans="1:6" x14ac:dyDescent="0.25">
      <c r="A33" s="265" t="s">
        <v>1097</v>
      </c>
      <c r="B33" s="263">
        <v>50000</v>
      </c>
      <c r="C33" s="263"/>
      <c r="D33" s="262"/>
      <c r="E33" s="295" t="s">
        <v>978</v>
      </c>
      <c r="F33" s="148"/>
    </row>
    <row r="34" spans="1:6" x14ac:dyDescent="0.25">
      <c r="A34" s="265" t="s">
        <v>1096</v>
      </c>
      <c r="B34" s="263">
        <v>100000</v>
      </c>
      <c r="C34" s="263"/>
      <c r="D34" s="262"/>
      <c r="E34" s="277" t="s">
        <v>978</v>
      </c>
      <c r="F34" s="148"/>
    </row>
    <row r="35" spans="1:6" x14ac:dyDescent="0.25">
      <c r="A35" s="265" t="s">
        <v>1095</v>
      </c>
      <c r="B35" s="263">
        <v>300000</v>
      </c>
      <c r="C35" s="263"/>
      <c r="D35" s="266"/>
      <c r="E35" s="295" t="s">
        <v>978</v>
      </c>
      <c r="F35" s="148"/>
    </row>
    <row r="36" spans="1:6" x14ac:dyDescent="0.25">
      <c r="A36" s="265"/>
      <c r="B36" s="263"/>
      <c r="C36" s="263"/>
      <c r="D36" s="266"/>
      <c r="E36" s="265"/>
      <c r="F36" s="148"/>
    </row>
    <row r="37" spans="1:6" x14ac:dyDescent="0.25">
      <c r="A37" s="290"/>
      <c r="B37" s="297"/>
      <c r="C37" s="297"/>
      <c r="D37" s="318"/>
      <c r="E37" s="316"/>
      <c r="F37" s="148"/>
    </row>
    <row r="38" spans="1:6" x14ac:dyDescent="0.25">
      <c r="A38" s="332" t="s">
        <v>50</v>
      </c>
      <c r="B38" s="331">
        <f>B49+B48+B47+B46+B45+B44+B43+B42</f>
        <v>2078000</v>
      </c>
      <c r="C38" s="263"/>
      <c r="D38" s="262"/>
      <c r="E38" s="314"/>
      <c r="F38" s="148"/>
    </row>
    <row r="39" spans="1:6" ht="16.5" x14ac:dyDescent="0.35">
      <c r="A39" s="265"/>
      <c r="B39" s="315"/>
      <c r="C39" s="315">
        <v>0</v>
      </c>
      <c r="D39" s="262"/>
      <c r="E39" s="314"/>
      <c r="F39" s="148"/>
    </row>
    <row r="40" spans="1:6" x14ac:dyDescent="0.25">
      <c r="A40" s="265" t="s">
        <v>1094</v>
      </c>
      <c r="B40" s="263" t="s">
        <v>1053</v>
      </c>
      <c r="C40" s="263">
        <v>0</v>
      </c>
      <c r="D40" s="262"/>
      <c r="E40" s="278" t="s">
        <v>978</v>
      </c>
      <c r="F40" s="148"/>
    </row>
    <row r="41" spans="1:6" x14ac:dyDescent="0.25">
      <c r="A41" s="265" t="s">
        <v>1093</v>
      </c>
      <c r="B41" s="263" t="s">
        <v>1053</v>
      </c>
      <c r="C41" s="263">
        <v>166200.07</v>
      </c>
      <c r="D41" s="262"/>
      <c r="E41" s="261" t="s">
        <v>993</v>
      </c>
      <c r="F41" s="148"/>
    </row>
    <row r="42" spans="1:6" x14ac:dyDescent="0.25">
      <c r="A42" s="265" t="s">
        <v>1092</v>
      </c>
      <c r="B42" s="263">
        <v>15000</v>
      </c>
      <c r="C42" s="263"/>
      <c r="D42" s="262"/>
      <c r="E42" s="295" t="s">
        <v>1090</v>
      </c>
      <c r="F42" s="148"/>
    </row>
    <row r="43" spans="1:6" x14ac:dyDescent="0.25">
      <c r="A43" s="265" t="s">
        <v>1091</v>
      </c>
      <c r="B43" s="263">
        <v>8000</v>
      </c>
      <c r="C43" s="263"/>
      <c r="D43" s="262"/>
      <c r="E43" s="295" t="s">
        <v>1090</v>
      </c>
      <c r="F43" s="148"/>
    </row>
    <row r="44" spans="1:6" x14ac:dyDescent="0.25">
      <c r="A44" s="265" t="s">
        <v>180</v>
      </c>
      <c r="B44" s="263">
        <v>20000</v>
      </c>
      <c r="C44" s="263"/>
      <c r="D44" s="262"/>
      <c r="E44" s="295" t="s">
        <v>978</v>
      </c>
      <c r="F44" s="148"/>
    </row>
    <row r="45" spans="1:6" x14ac:dyDescent="0.25">
      <c r="A45" s="265" t="s">
        <v>1089</v>
      </c>
      <c r="B45" s="263">
        <v>500000</v>
      </c>
      <c r="C45" s="263"/>
      <c r="D45" s="262"/>
      <c r="E45" s="295" t="s">
        <v>978</v>
      </c>
      <c r="F45" s="148"/>
    </row>
    <row r="46" spans="1:6" x14ac:dyDescent="0.25">
      <c r="A46" s="265" t="s">
        <v>1088</v>
      </c>
      <c r="B46" s="263">
        <v>30000</v>
      </c>
      <c r="C46" s="263"/>
      <c r="D46" s="262"/>
      <c r="E46" s="295" t="s">
        <v>1085</v>
      </c>
      <c r="F46" s="148"/>
    </row>
    <row r="47" spans="1:6" ht="36.75" x14ac:dyDescent="0.25">
      <c r="A47" s="265" t="s">
        <v>1087</v>
      </c>
      <c r="B47" s="263">
        <v>5000</v>
      </c>
      <c r="C47" s="263"/>
      <c r="D47" s="262"/>
      <c r="E47" s="278" t="s">
        <v>1085</v>
      </c>
      <c r="F47" s="148"/>
    </row>
    <row r="48" spans="1:6" ht="36.75" x14ac:dyDescent="0.25">
      <c r="A48" s="265" t="s">
        <v>1086</v>
      </c>
      <c r="B48" s="263">
        <v>500000</v>
      </c>
      <c r="C48" s="263"/>
      <c r="D48" s="262"/>
      <c r="E48" s="278" t="s">
        <v>1085</v>
      </c>
      <c r="F48" s="148"/>
    </row>
    <row r="49" spans="1:6" x14ac:dyDescent="0.25">
      <c r="A49" s="265" t="s">
        <v>1084</v>
      </c>
      <c r="B49" s="263">
        <v>1000000</v>
      </c>
      <c r="C49" s="263"/>
      <c r="D49" s="262"/>
      <c r="E49" s="261" t="s">
        <v>972</v>
      </c>
      <c r="F49" s="148"/>
    </row>
    <row r="50" spans="1:6" x14ac:dyDescent="0.25">
      <c r="A50" s="290"/>
      <c r="B50" s="281"/>
      <c r="C50" s="281"/>
      <c r="D50" s="303"/>
      <c r="E50" s="302"/>
      <c r="F50" s="148"/>
    </row>
    <row r="51" spans="1:6" x14ac:dyDescent="0.25">
      <c r="A51" s="286" t="s">
        <v>1083</v>
      </c>
      <c r="B51" s="297"/>
      <c r="C51" s="297"/>
      <c r="D51" s="318"/>
      <c r="E51" s="316"/>
      <c r="F51" s="148"/>
    </row>
    <row r="52" spans="1:6" x14ac:dyDescent="0.25">
      <c r="A52" s="290"/>
      <c r="B52" s="297"/>
      <c r="C52" s="297"/>
      <c r="D52" s="318"/>
      <c r="E52" s="316"/>
      <c r="F52" s="148"/>
    </row>
    <row r="53" spans="1:6" x14ac:dyDescent="0.25">
      <c r="A53" s="286" t="s">
        <v>307</v>
      </c>
      <c r="B53" s="297"/>
      <c r="C53" s="297"/>
      <c r="D53" s="318"/>
      <c r="E53" s="316"/>
      <c r="F53" s="148"/>
    </row>
    <row r="54" spans="1:6" x14ac:dyDescent="0.25">
      <c r="A54" s="286" t="s">
        <v>1082</v>
      </c>
      <c r="B54" s="281"/>
      <c r="C54" s="281"/>
      <c r="D54" s="318"/>
      <c r="E54" s="316"/>
      <c r="F54" s="148"/>
    </row>
    <row r="55" spans="1:6" x14ac:dyDescent="0.25">
      <c r="A55" s="148"/>
      <c r="B55" s="283">
        <f>SUM(B56:B56)</f>
        <v>6000000</v>
      </c>
      <c r="C55" s="283"/>
      <c r="D55" s="318"/>
      <c r="E55" s="316"/>
      <c r="F55" s="148"/>
    </row>
    <row r="56" spans="1:6" x14ac:dyDescent="0.25">
      <c r="A56" s="265" t="s">
        <v>187</v>
      </c>
      <c r="B56" s="330">
        <v>6000000</v>
      </c>
      <c r="C56" s="307"/>
      <c r="D56" s="262"/>
      <c r="E56" s="278" t="s">
        <v>978</v>
      </c>
      <c r="F56" s="148"/>
    </row>
    <row r="57" spans="1:6" x14ac:dyDescent="0.25">
      <c r="A57" s="326" t="s">
        <v>1081</v>
      </c>
      <c r="B57" s="307"/>
      <c r="C57" s="263">
        <v>11000000</v>
      </c>
      <c r="D57" s="262">
        <v>10580000</v>
      </c>
      <c r="E57" s="329" t="s">
        <v>712</v>
      </c>
      <c r="F57" s="148"/>
    </row>
    <row r="58" spans="1:6" x14ac:dyDescent="0.25">
      <c r="A58" s="290"/>
      <c r="B58" s="304"/>
      <c r="C58" s="304"/>
      <c r="D58" s="303"/>
      <c r="E58" s="290"/>
      <c r="F58" s="148"/>
    </row>
    <row r="59" spans="1:6" x14ac:dyDescent="0.25">
      <c r="A59" s="290"/>
      <c r="B59" s="304"/>
      <c r="C59" s="304"/>
      <c r="D59" s="303"/>
      <c r="E59" s="290"/>
      <c r="F59" s="148"/>
    </row>
    <row r="60" spans="1:6" x14ac:dyDescent="0.25">
      <c r="A60" s="286" t="s">
        <v>1080</v>
      </c>
      <c r="B60" s="283">
        <f>B61+B62+B63+B64+B65+B66+B67+B68+B69+B70+B71+B72+B73+B74+B75+B76+B77+B78+B79+B80</f>
        <v>11555000</v>
      </c>
      <c r="C60" s="281"/>
      <c r="D60" s="318"/>
      <c r="E60" s="316"/>
      <c r="F60" s="148"/>
    </row>
    <row r="61" spans="1:6" x14ac:dyDescent="0.25">
      <c r="A61" s="265" t="s">
        <v>193</v>
      </c>
      <c r="B61" s="263">
        <v>1500000</v>
      </c>
      <c r="C61" s="263"/>
      <c r="D61" s="262"/>
      <c r="E61" s="261" t="s">
        <v>972</v>
      </c>
      <c r="F61" s="328"/>
    </row>
    <row r="62" spans="1:6" x14ac:dyDescent="0.25">
      <c r="A62" s="265" t="s">
        <v>1079</v>
      </c>
      <c r="B62" s="263">
        <v>2400000</v>
      </c>
      <c r="C62" s="263"/>
      <c r="D62" s="262"/>
      <c r="E62" s="261" t="s">
        <v>972</v>
      </c>
      <c r="F62" s="328"/>
    </row>
    <row r="63" spans="1:6" x14ac:dyDescent="0.25">
      <c r="A63" s="265" t="s">
        <v>1078</v>
      </c>
      <c r="B63" s="263">
        <v>280000</v>
      </c>
      <c r="C63" s="263"/>
      <c r="D63" s="262"/>
      <c r="E63" s="261" t="s">
        <v>972</v>
      </c>
      <c r="F63" s="328"/>
    </row>
    <row r="64" spans="1:6" x14ac:dyDescent="0.25">
      <c r="A64" s="265" t="s">
        <v>1077</v>
      </c>
      <c r="B64" s="263">
        <v>280000</v>
      </c>
      <c r="C64" s="263"/>
      <c r="D64" s="262"/>
      <c r="E64" s="261" t="s">
        <v>972</v>
      </c>
      <c r="F64" s="328"/>
    </row>
    <row r="65" spans="1:6" x14ac:dyDescent="0.25">
      <c r="A65" s="265" t="s">
        <v>198</v>
      </c>
      <c r="B65" s="263">
        <v>280000</v>
      </c>
      <c r="C65" s="263"/>
      <c r="D65" s="262"/>
      <c r="E65" s="261" t="s">
        <v>972</v>
      </c>
      <c r="F65" s="328"/>
    </row>
    <row r="66" spans="1:6" x14ac:dyDescent="0.25">
      <c r="A66" s="265" t="s">
        <v>200</v>
      </c>
      <c r="B66" s="263">
        <v>280000</v>
      </c>
      <c r="C66" s="263"/>
      <c r="D66" s="262"/>
      <c r="E66" s="261" t="s">
        <v>972</v>
      </c>
      <c r="F66" s="328"/>
    </row>
    <row r="67" spans="1:6" x14ac:dyDescent="0.25">
      <c r="A67" s="265" t="s">
        <v>1076</v>
      </c>
      <c r="B67" s="263">
        <v>280000</v>
      </c>
      <c r="C67" s="263"/>
      <c r="D67" s="262"/>
      <c r="E67" s="261" t="s">
        <v>972</v>
      </c>
      <c r="F67" s="328"/>
    </row>
    <row r="68" spans="1:6" x14ac:dyDescent="0.25">
      <c r="A68" s="265" t="s">
        <v>204</v>
      </c>
      <c r="B68" s="263">
        <v>280000</v>
      </c>
      <c r="C68" s="263"/>
      <c r="D68" s="262"/>
      <c r="E68" s="261" t="s">
        <v>972</v>
      </c>
      <c r="F68" s="328"/>
    </row>
    <row r="69" spans="1:6" x14ac:dyDescent="0.25">
      <c r="A69" s="265" t="s">
        <v>205</v>
      </c>
      <c r="B69" s="263">
        <v>75000</v>
      </c>
      <c r="C69" s="263"/>
      <c r="D69" s="262"/>
      <c r="E69" s="278" t="s">
        <v>978</v>
      </c>
      <c r="F69" s="328"/>
    </row>
    <row r="70" spans="1:6" x14ac:dyDescent="0.25">
      <c r="A70" s="265" t="s">
        <v>206</v>
      </c>
      <c r="B70" s="263">
        <v>75000</v>
      </c>
      <c r="C70" s="263"/>
      <c r="D70" s="262"/>
      <c r="E70" s="278" t="s">
        <v>978</v>
      </c>
      <c r="F70" s="328"/>
    </row>
    <row r="71" spans="1:6" x14ac:dyDescent="0.25">
      <c r="A71" s="265" t="s">
        <v>207</v>
      </c>
      <c r="B71" s="263">
        <v>75000</v>
      </c>
      <c r="C71" s="263"/>
      <c r="D71" s="262"/>
      <c r="E71" s="278" t="s">
        <v>978</v>
      </c>
      <c r="F71" s="328"/>
    </row>
    <row r="72" spans="1:6" x14ac:dyDescent="0.25">
      <c r="A72" s="265" t="s">
        <v>208</v>
      </c>
      <c r="B72" s="263">
        <v>75000</v>
      </c>
      <c r="C72" s="263"/>
      <c r="D72" s="262"/>
      <c r="E72" s="278" t="s">
        <v>978</v>
      </c>
      <c r="F72" s="328"/>
    </row>
    <row r="73" spans="1:6" x14ac:dyDescent="0.25">
      <c r="A73" s="265" t="s">
        <v>1075</v>
      </c>
      <c r="B73" s="263">
        <v>75000</v>
      </c>
      <c r="C73" s="263"/>
      <c r="D73" s="262"/>
      <c r="E73" s="278" t="s">
        <v>978</v>
      </c>
      <c r="F73" s="328"/>
    </row>
    <row r="74" spans="1:6" x14ac:dyDescent="0.25">
      <c r="A74" s="265" t="s">
        <v>340</v>
      </c>
      <c r="B74" s="263">
        <v>800000</v>
      </c>
      <c r="C74" s="263"/>
      <c r="D74" s="262"/>
      <c r="E74" s="278" t="s">
        <v>978</v>
      </c>
      <c r="F74" s="328"/>
    </row>
    <row r="75" spans="1:6" x14ac:dyDescent="0.25">
      <c r="A75" s="265" t="s">
        <v>210</v>
      </c>
      <c r="B75" s="263">
        <v>800000</v>
      </c>
      <c r="C75" s="263"/>
      <c r="D75" s="262"/>
      <c r="E75" s="278" t="s">
        <v>978</v>
      </c>
      <c r="F75" s="328"/>
    </row>
    <row r="76" spans="1:6" x14ac:dyDescent="0.25">
      <c r="A76" s="265" t="s">
        <v>133</v>
      </c>
      <c r="B76" s="263">
        <v>800000</v>
      </c>
      <c r="C76" s="263"/>
      <c r="D76" s="262"/>
      <c r="E76" s="278" t="s">
        <v>978</v>
      </c>
      <c r="F76" s="328"/>
    </row>
    <row r="77" spans="1:6" x14ac:dyDescent="0.25">
      <c r="A77" s="265" t="s">
        <v>214</v>
      </c>
      <c r="B77" s="263">
        <v>800000</v>
      </c>
      <c r="C77" s="263"/>
      <c r="D77" s="262"/>
      <c r="E77" s="278" t="s">
        <v>978</v>
      </c>
      <c r="F77" s="328"/>
    </row>
    <row r="78" spans="1:6" x14ac:dyDescent="0.25">
      <c r="A78" s="265" t="s">
        <v>216</v>
      </c>
      <c r="B78" s="263">
        <v>800000</v>
      </c>
      <c r="C78" s="263"/>
      <c r="D78" s="262"/>
      <c r="E78" s="278" t="s">
        <v>978</v>
      </c>
      <c r="F78" s="328"/>
    </row>
    <row r="79" spans="1:6" x14ac:dyDescent="0.25">
      <c r="A79" s="265" t="s">
        <v>134</v>
      </c>
      <c r="B79" s="263">
        <v>800000</v>
      </c>
      <c r="C79" s="263"/>
      <c r="D79" s="262"/>
      <c r="E79" s="278" t="s">
        <v>978</v>
      </c>
      <c r="F79" s="328"/>
    </row>
    <row r="80" spans="1:6" x14ac:dyDescent="0.25">
      <c r="A80" s="265" t="s">
        <v>219</v>
      </c>
      <c r="B80" s="263">
        <v>800000</v>
      </c>
      <c r="C80" s="263"/>
      <c r="D80" s="262"/>
      <c r="E80" s="278" t="s">
        <v>978</v>
      </c>
      <c r="F80" s="328"/>
    </row>
    <row r="81" spans="1:6" x14ac:dyDescent="0.25">
      <c r="A81" s="290"/>
      <c r="B81" s="281"/>
      <c r="C81" s="281"/>
      <c r="D81" s="318"/>
      <c r="E81" s="316"/>
      <c r="F81" s="328"/>
    </row>
    <row r="82" spans="1:6" x14ac:dyDescent="0.25">
      <c r="A82" s="286" t="s">
        <v>1074</v>
      </c>
      <c r="B82" s="297"/>
      <c r="C82" s="297"/>
      <c r="D82" s="318"/>
      <c r="E82" s="316"/>
      <c r="F82" s="328"/>
    </row>
    <row r="83" spans="1:6" ht="16.5" x14ac:dyDescent="0.35">
      <c r="A83" s="265"/>
      <c r="B83" s="315">
        <f>SUM(B84:B86)</f>
        <v>680000</v>
      </c>
      <c r="C83" s="315"/>
      <c r="D83" s="262"/>
      <c r="E83" s="314"/>
      <c r="F83" s="328"/>
    </row>
    <row r="84" spans="1:6" x14ac:dyDescent="0.25">
      <c r="A84" s="265" t="s">
        <v>1073</v>
      </c>
      <c r="B84" s="263">
        <v>80000</v>
      </c>
      <c r="C84" s="263"/>
      <c r="D84" s="262"/>
      <c r="E84" s="278" t="s">
        <v>978</v>
      </c>
      <c r="F84" s="328"/>
    </row>
    <row r="85" spans="1:6" x14ac:dyDescent="0.25">
      <c r="A85" s="265" t="s">
        <v>190</v>
      </c>
      <c r="B85" s="263">
        <v>300000</v>
      </c>
      <c r="C85" s="263"/>
      <c r="D85" s="262"/>
      <c r="E85" s="278" t="s">
        <v>978</v>
      </c>
      <c r="F85" s="328"/>
    </row>
    <row r="86" spans="1:6" x14ac:dyDescent="0.25">
      <c r="A86" s="265" t="s">
        <v>148</v>
      </c>
      <c r="B86" s="263">
        <v>300000</v>
      </c>
      <c r="C86" s="263"/>
      <c r="D86" s="262"/>
      <c r="E86" s="295" t="s">
        <v>978</v>
      </c>
      <c r="F86" s="328"/>
    </row>
    <row r="87" spans="1:6" ht="24.75" x14ac:dyDescent="0.25">
      <c r="A87" s="265" t="s">
        <v>1072</v>
      </c>
      <c r="B87" s="263"/>
      <c r="C87" s="263">
        <v>50000</v>
      </c>
      <c r="D87" s="262"/>
      <c r="E87" s="278" t="s">
        <v>1071</v>
      </c>
      <c r="F87" s="148"/>
    </row>
    <row r="88" spans="1:6" x14ac:dyDescent="0.25">
      <c r="A88" s="290"/>
      <c r="B88" s="281"/>
      <c r="C88" s="281"/>
      <c r="D88" s="303"/>
      <c r="E88" s="302"/>
      <c r="F88" s="148"/>
    </row>
    <row r="89" spans="1:6" x14ac:dyDescent="0.25">
      <c r="A89" s="290"/>
      <c r="B89" s="281"/>
      <c r="C89" s="281"/>
      <c r="D89" s="303"/>
      <c r="E89" s="302"/>
      <c r="F89" s="148"/>
    </row>
    <row r="90" spans="1:6" x14ac:dyDescent="0.25">
      <c r="A90" s="290"/>
      <c r="B90" s="281"/>
      <c r="C90" s="281"/>
      <c r="D90" s="303"/>
      <c r="E90" s="302"/>
      <c r="F90" s="148"/>
    </row>
    <row r="91" spans="1:6" x14ac:dyDescent="0.25">
      <c r="A91" s="286" t="s">
        <v>1070</v>
      </c>
      <c r="B91" s="283">
        <f>B93</f>
        <v>1500000</v>
      </c>
      <c r="C91" s="281"/>
      <c r="D91" s="303"/>
      <c r="E91" s="302"/>
      <c r="F91" s="148"/>
    </row>
    <row r="92" spans="1:6" x14ac:dyDescent="0.25">
      <c r="A92" s="290"/>
      <c r="B92" s="281"/>
      <c r="C92" s="281"/>
      <c r="D92" s="303"/>
      <c r="E92" s="302"/>
      <c r="F92" s="148"/>
    </row>
    <row r="93" spans="1:6" x14ac:dyDescent="0.25">
      <c r="A93" s="263" t="s">
        <v>1069</v>
      </c>
      <c r="B93" s="263">
        <v>1500000</v>
      </c>
      <c r="C93" s="263">
        <v>0</v>
      </c>
      <c r="D93" s="266">
        <f>50000+11880</f>
        <v>61880</v>
      </c>
      <c r="E93" s="299" t="s">
        <v>993</v>
      </c>
      <c r="F93" s="148"/>
    </row>
    <row r="94" spans="1:6" x14ac:dyDescent="0.25">
      <c r="A94" s="327" t="s">
        <v>1068</v>
      </c>
      <c r="B94" s="263"/>
      <c r="C94" s="263"/>
      <c r="D94" s="266">
        <v>401142</v>
      </c>
      <c r="E94" s="299"/>
      <c r="F94" s="148"/>
    </row>
    <row r="95" spans="1:6" x14ac:dyDescent="0.25">
      <c r="A95" s="290"/>
      <c r="B95" s="281"/>
      <c r="C95" s="281"/>
      <c r="D95" s="318"/>
      <c r="E95" s="316"/>
      <c r="F95" s="148"/>
    </row>
    <row r="96" spans="1:6" x14ac:dyDescent="0.25">
      <c r="A96" s="286" t="s">
        <v>82</v>
      </c>
      <c r="B96" s="297"/>
      <c r="C96" s="297"/>
      <c r="D96" s="318"/>
      <c r="E96" s="316"/>
      <c r="F96" s="148"/>
    </row>
    <row r="97" spans="1:6" ht="16.5" x14ac:dyDescent="0.35">
      <c r="A97" s="290"/>
      <c r="B97" s="298">
        <f>SUM(B98:B111)</f>
        <v>6840000</v>
      </c>
      <c r="C97" s="298"/>
      <c r="D97" s="318"/>
      <c r="E97" s="316"/>
      <c r="F97" s="148"/>
    </row>
    <row r="98" spans="1:6" x14ac:dyDescent="0.25">
      <c r="A98" s="326" t="s">
        <v>1067</v>
      </c>
      <c r="B98" s="263">
        <v>105000</v>
      </c>
      <c r="C98" s="263">
        <v>420000</v>
      </c>
      <c r="D98" s="262">
        <v>68639</v>
      </c>
      <c r="E98" s="261" t="s">
        <v>1014</v>
      </c>
      <c r="F98" s="148"/>
    </row>
    <row r="99" spans="1:6" ht="23.25" x14ac:dyDescent="0.25">
      <c r="A99" s="324" t="s">
        <v>1066</v>
      </c>
      <c r="B99" s="263">
        <v>105000</v>
      </c>
      <c r="C99" s="263">
        <v>420000</v>
      </c>
      <c r="D99" s="262">
        <v>68639</v>
      </c>
      <c r="E99" s="261" t="s">
        <v>989</v>
      </c>
      <c r="F99" s="148"/>
    </row>
    <row r="100" spans="1:6" ht="23.25" x14ac:dyDescent="0.25">
      <c r="A100" s="324" t="s">
        <v>1065</v>
      </c>
      <c r="B100" s="263">
        <v>105000</v>
      </c>
      <c r="C100" s="263">
        <v>420000</v>
      </c>
      <c r="D100" s="262">
        <v>69810</v>
      </c>
      <c r="E100" s="261" t="s">
        <v>989</v>
      </c>
      <c r="F100" s="148"/>
    </row>
    <row r="101" spans="1:6" ht="23.25" x14ac:dyDescent="0.25">
      <c r="A101" s="324" t="s">
        <v>1064</v>
      </c>
      <c r="B101" s="263">
        <v>105000</v>
      </c>
      <c r="C101" s="263">
        <v>420000</v>
      </c>
      <c r="D101" s="262">
        <v>69810</v>
      </c>
      <c r="E101" s="261" t="s">
        <v>989</v>
      </c>
      <c r="F101" s="148"/>
    </row>
    <row r="102" spans="1:6" ht="23.25" x14ac:dyDescent="0.25">
      <c r="A102" s="324" t="s">
        <v>1063</v>
      </c>
      <c r="B102" s="263">
        <v>105000</v>
      </c>
      <c r="C102" s="263">
        <v>420000</v>
      </c>
      <c r="D102" s="262">
        <v>68639</v>
      </c>
      <c r="E102" s="261" t="s">
        <v>989</v>
      </c>
      <c r="F102" s="148"/>
    </row>
    <row r="103" spans="1:6" ht="23.25" x14ac:dyDescent="0.25">
      <c r="A103" s="324" t="s">
        <v>1062</v>
      </c>
      <c r="B103" s="263">
        <v>105000</v>
      </c>
      <c r="C103" s="263">
        <v>420000</v>
      </c>
      <c r="D103" s="262">
        <v>68639</v>
      </c>
      <c r="E103" s="261" t="s">
        <v>989</v>
      </c>
      <c r="F103" s="148"/>
    </row>
    <row r="104" spans="1:6" ht="23.25" x14ac:dyDescent="0.25">
      <c r="A104" s="324" t="s">
        <v>1061</v>
      </c>
      <c r="B104" s="263">
        <v>105000</v>
      </c>
      <c r="C104" s="263">
        <v>420000</v>
      </c>
      <c r="D104" s="262">
        <v>69810</v>
      </c>
      <c r="E104" s="261" t="s">
        <v>989</v>
      </c>
      <c r="F104" s="148"/>
    </row>
    <row r="105" spans="1:6" ht="23.25" x14ac:dyDescent="0.25">
      <c r="A105" s="324" t="s">
        <v>1060</v>
      </c>
      <c r="B105" s="263">
        <v>6000000</v>
      </c>
      <c r="C105" s="263"/>
      <c r="D105" s="262"/>
      <c r="E105" s="278" t="s">
        <v>978</v>
      </c>
      <c r="F105" s="148"/>
    </row>
    <row r="106" spans="1:6" ht="34.5" x14ac:dyDescent="0.25">
      <c r="A106" s="324" t="s">
        <v>1059</v>
      </c>
      <c r="B106" s="263">
        <v>105000</v>
      </c>
      <c r="C106" s="263">
        <v>420000</v>
      </c>
      <c r="D106" s="262">
        <v>69810</v>
      </c>
      <c r="E106" s="278" t="s">
        <v>1014</v>
      </c>
      <c r="F106" s="148"/>
    </row>
    <row r="107" spans="1:6" ht="24" customHeight="1" x14ac:dyDescent="0.25">
      <c r="A107" s="324" t="s">
        <v>1058</v>
      </c>
      <c r="B107" s="263"/>
      <c r="C107" s="263"/>
      <c r="D107" s="262"/>
      <c r="E107" s="277" t="s">
        <v>1014</v>
      </c>
      <c r="F107" s="148"/>
    </row>
    <row r="108" spans="1:6" ht="28.5" customHeight="1" x14ac:dyDescent="0.25">
      <c r="A108" s="324" t="s">
        <v>1057</v>
      </c>
      <c r="B108" s="263" t="s">
        <v>1053</v>
      </c>
      <c r="C108" s="263"/>
      <c r="D108" s="262"/>
      <c r="E108" s="277" t="s">
        <v>1014</v>
      </c>
      <c r="F108" s="148"/>
    </row>
    <row r="109" spans="1:6" ht="31.5" customHeight="1" x14ac:dyDescent="0.25">
      <c r="A109" s="324" t="s">
        <v>1056</v>
      </c>
      <c r="B109" s="263" t="s">
        <v>1053</v>
      </c>
      <c r="C109" s="263"/>
      <c r="D109" s="262"/>
      <c r="E109" s="277" t="s">
        <v>1014</v>
      </c>
      <c r="F109" s="148"/>
    </row>
    <row r="110" spans="1:6" ht="36" customHeight="1" x14ac:dyDescent="0.25">
      <c r="A110" s="324" t="s">
        <v>1055</v>
      </c>
      <c r="B110" s="263"/>
      <c r="C110" s="263"/>
      <c r="D110" s="262"/>
      <c r="E110" s="277" t="s">
        <v>1014</v>
      </c>
      <c r="F110" s="148"/>
    </row>
    <row r="111" spans="1:6" ht="33" customHeight="1" x14ac:dyDescent="0.25">
      <c r="A111" s="324" t="s">
        <v>1054</v>
      </c>
      <c r="B111" s="263" t="s">
        <v>1053</v>
      </c>
      <c r="C111" s="263"/>
      <c r="D111" s="262"/>
      <c r="E111" s="277" t="s">
        <v>1014</v>
      </c>
      <c r="F111" s="148"/>
    </row>
    <row r="112" spans="1:6" ht="24.75" x14ac:dyDescent="0.25">
      <c r="A112" s="324" t="s">
        <v>1052</v>
      </c>
      <c r="B112" s="263"/>
      <c r="C112" s="263"/>
      <c r="D112" s="262">
        <v>200000</v>
      </c>
      <c r="E112" s="277" t="s">
        <v>1014</v>
      </c>
      <c r="F112" s="148"/>
    </row>
    <row r="113" spans="1:6" x14ac:dyDescent="0.25">
      <c r="A113" s="290"/>
      <c r="B113" s="281"/>
      <c r="C113" s="281"/>
      <c r="D113" s="318"/>
      <c r="E113" s="316"/>
      <c r="F113" s="148"/>
    </row>
    <row r="114" spans="1:6" x14ac:dyDescent="0.25">
      <c r="A114" s="286" t="s">
        <v>220</v>
      </c>
      <c r="B114" s="325"/>
      <c r="C114" s="325"/>
      <c r="D114" s="318"/>
      <c r="E114" s="316"/>
      <c r="F114" s="148"/>
    </row>
    <row r="115" spans="1:6" ht="16.5" x14ac:dyDescent="0.35">
      <c r="A115" s="148"/>
      <c r="B115" s="298">
        <f>B116+B117+B119+B120+B121+B122+B123+B124+B125+B126+B127+B128+B129+B130+B131+B132+B133</f>
        <v>12940000</v>
      </c>
      <c r="C115" s="298"/>
      <c r="D115" s="318"/>
      <c r="E115" s="316"/>
      <c r="F115" s="148"/>
    </row>
    <row r="116" spans="1:6" x14ac:dyDescent="0.25">
      <c r="A116" s="265" t="s">
        <v>1051</v>
      </c>
      <c r="B116" s="263">
        <v>500000</v>
      </c>
      <c r="C116" s="263">
        <v>2889080</v>
      </c>
      <c r="D116" s="262"/>
      <c r="E116" s="277" t="s">
        <v>978</v>
      </c>
      <c r="F116" s="148"/>
    </row>
    <row r="117" spans="1:6" x14ac:dyDescent="0.25">
      <c r="A117" s="265" t="s">
        <v>1050</v>
      </c>
      <c r="B117" s="263">
        <v>700000</v>
      </c>
      <c r="C117" s="263">
        <v>300000</v>
      </c>
      <c r="D117" s="262"/>
      <c r="E117" s="261" t="s">
        <v>989</v>
      </c>
      <c r="F117" s="148"/>
    </row>
    <row r="118" spans="1:6" x14ac:dyDescent="0.25">
      <c r="A118" s="265" t="s">
        <v>1049</v>
      </c>
      <c r="B118" s="323"/>
      <c r="C118" s="323">
        <v>5150000</v>
      </c>
      <c r="D118" s="262"/>
      <c r="E118" s="261" t="s">
        <v>965</v>
      </c>
      <c r="F118" s="148"/>
    </row>
    <row r="119" spans="1:6" ht="39.75" customHeight="1" x14ac:dyDescent="0.25">
      <c r="A119" s="324" t="s">
        <v>1048</v>
      </c>
      <c r="B119" s="323">
        <v>1600000</v>
      </c>
      <c r="C119" s="323"/>
      <c r="D119" s="262"/>
      <c r="E119" s="261" t="s">
        <v>972</v>
      </c>
      <c r="F119" s="148"/>
    </row>
    <row r="120" spans="1:6" x14ac:dyDescent="0.25">
      <c r="A120" s="322" t="s">
        <v>221</v>
      </c>
      <c r="B120" s="323">
        <v>500000</v>
      </c>
      <c r="C120" s="323"/>
      <c r="D120" s="262"/>
      <c r="E120" s="278" t="s">
        <v>978</v>
      </c>
      <c r="F120" s="148"/>
    </row>
    <row r="121" spans="1:6" x14ac:dyDescent="0.25">
      <c r="A121" s="322" t="s">
        <v>222</v>
      </c>
      <c r="B121" s="323">
        <v>500000</v>
      </c>
      <c r="C121" s="323"/>
      <c r="D121" s="262"/>
      <c r="E121" s="278" t="s">
        <v>978</v>
      </c>
      <c r="F121" s="148"/>
    </row>
    <row r="122" spans="1:6" x14ac:dyDescent="0.25">
      <c r="A122" s="322" t="s">
        <v>223</v>
      </c>
      <c r="B122" s="323">
        <v>320000</v>
      </c>
      <c r="C122" s="323"/>
      <c r="D122" s="262"/>
      <c r="E122" s="278" t="s">
        <v>978</v>
      </c>
      <c r="F122" s="148"/>
    </row>
    <row r="123" spans="1:6" x14ac:dyDescent="0.25">
      <c r="A123" s="322" t="s">
        <v>224</v>
      </c>
      <c r="B123" s="323">
        <v>320000</v>
      </c>
      <c r="C123" s="323"/>
      <c r="D123" s="262"/>
      <c r="E123" s="278" t="s">
        <v>978</v>
      </c>
      <c r="F123" s="148"/>
    </row>
    <row r="124" spans="1:6" x14ac:dyDescent="0.25">
      <c r="A124" s="322" t="s">
        <v>225</v>
      </c>
      <c r="B124" s="323">
        <v>320000</v>
      </c>
      <c r="C124" s="323"/>
      <c r="D124" s="262"/>
      <c r="E124" s="278" t="s">
        <v>978</v>
      </c>
      <c r="F124" s="148"/>
    </row>
    <row r="125" spans="1:6" x14ac:dyDescent="0.25">
      <c r="A125" s="322" t="s">
        <v>226</v>
      </c>
      <c r="B125" s="323">
        <v>320000</v>
      </c>
      <c r="C125" s="323"/>
      <c r="D125" s="262"/>
      <c r="E125" s="278" t="s">
        <v>978</v>
      </c>
      <c r="F125" s="148"/>
    </row>
    <row r="126" spans="1:6" x14ac:dyDescent="0.25">
      <c r="A126" s="322" t="s">
        <v>1047</v>
      </c>
      <c r="B126" s="323">
        <v>550000</v>
      </c>
      <c r="C126" s="323"/>
      <c r="D126" s="262"/>
      <c r="E126" s="278" t="s">
        <v>978</v>
      </c>
      <c r="F126" s="148"/>
    </row>
    <row r="127" spans="1:6" x14ac:dyDescent="0.25">
      <c r="A127" s="322" t="s">
        <v>1046</v>
      </c>
      <c r="B127" s="323">
        <v>550000</v>
      </c>
      <c r="C127" s="323"/>
      <c r="D127" s="262"/>
      <c r="E127" s="278" t="s">
        <v>978</v>
      </c>
      <c r="F127" s="148"/>
    </row>
    <row r="128" spans="1:6" x14ac:dyDescent="0.25">
      <c r="A128" s="322" t="s">
        <v>1045</v>
      </c>
      <c r="B128" s="323">
        <v>550000</v>
      </c>
      <c r="C128" s="323"/>
      <c r="D128" s="262"/>
      <c r="E128" s="278" t="s">
        <v>978</v>
      </c>
      <c r="F128" s="148"/>
    </row>
    <row r="129" spans="1:6" x14ac:dyDescent="0.25">
      <c r="A129" s="322" t="s">
        <v>1044</v>
      </c>
      <c r="B129" s="323">
        <v>550000</v>
      </c>
      <c r="C129" s="323"/>
      <c r="D129" s="262"/>
      <c r="E129" s="278" t="s">
        <v>978</v>
      </c>
      <c r="F129" s="148"/>
    </row>
    <row r="130" spans="1:6" x14ac:dyDescent="0.25">
      <c r="A130" s="322" t="s">
        <v>227</v>
      </c>
      <c r="B130" s="323">
        <v>220000</v>
      </c>
      <c r="C130" s="323"/>
      <c r="D130" s="262"/>
      <c r="E130" s="278" t="s">
        <v>978</v>
      </c>
      <c r="F130" s="148"/>
    </row>
    <row r="131" spans="1:6" x14ac:dyDescent="0.25">
      <c r="A131" s="322" t="s">
        <v>228</v>
      </c>
      <c r="B131" s="323">
        <v>220000</v>
      </c>
      <c r="C131" s="323"/>
      <c r="D131" s="262"/>
      <c r="E131" s="278" t="s">
        <v>978</v>
      </c>
      <c r="F131" s="148"/>
    </row>
    <row r="132" spans="1:6" x14ac:dyDescent="0.25">
      <c r="A132" s="322" t="s">
        <v>229</v>
      </c>
      <c r="B132" s="263">
        <v>220000</v>
      </c>
      <c r="C132" s="263"/>
      <c r="D132" s="262"/>
      <c r="E132" s="278" t="s">
        <v>978</v>
      </c>
      <c r="F132" s="148"/>
    </row>
    <row r="133" spans="1:6" x14ac:dyDescent="0.25">
      <c r="A133" s="322" t="s">
        <v>231</v>
      </c>
      <c r="B133" s="263">
        <v>5000000</v>
      </c>
      <c r="C133" s="263"/>
      <c r="D133" s="262"/>
      <c r="E133" s="278" t="s">
        <v>978</v>
      </c>
      <c r="F133" s="148"/>
    </row>
    <row r="134" spans="1:6" x14ac:dyDescent="0.25">
      <c r="A134" s="321"/>
      <c r="B134" s="281"/>
      <c r="C134" s="281"/>
      <c r="D134" s="303"/>
      <c r="E134" s="302"/>
      <c r="F134" s="148"/>
    </row>
    <row r="135" spans="1:6" x14ac:dyDescent="0.25">
      <c r="A135" s="321"/>
      <c r="B135" s="281"/>
      <c r="C135" s="281"/>
      <c r="D135" s="303"/>
      <c r="E135" s="302"/>
      <c r="F135" s="148"/>
    </row>
    <row r="136" spans="1:6" ht="16.5" x14ac:dyDescent="0.35">
      <c r="A136" s="148" t="s">
        <v>1043</v>
      </c>
      <c r="B136" s="298">
        <f>SUM(B137:B141)</f>
        <v>5000000</v>
      </c>
      <c r="C136" s="298"/>
      <c r="D136" s="318"/>
      <c r="E136" s="316"/>
      <c r="F136" s="148"/>
    </row>
    <row r="137" spans="1:6" x14ac:dyDescent="0.25">
      <c r="A137" s="265" t="s">
        <v>1042</v>
      </c>
      <c r="B137" s="263"/>
      <c r="C137" s="263">
        <v>1700000</v>
      </c>
      <c r="D137" s="262">
        <f>62625+32788</f>
        <v>95413</v>
      </c>
      <c r="E137" s="261" t="s">
        <v>1014</v>
      </c>
      <c r="F137" s="148"/>
    </row>
    <row r="138" spans="1:6" x14ac:dyDescent="0.25">
      <c r="A138" s="265" t="s">
        <v>1041</v>
      </c>
      <c r="B138" s="263"/>
      <c r="C138" s="263">
        <v>350000</v>
      </c>
      <c r="D138" s="262">
        <v>258312</v>
      </c>
      <c r="E138" s="300" t="s">
        <v>1025</v>
      </c>
      <c r="F138" s="148"/>
    </row>
    <row r="139" spans="1:6" x14ac:dyDescent="0.25">
      <c r="A139" s="265" t="s">
        <v>1040</v>
      </c>
      <c r="B139" s="263"/>
      <c r="C139" s="263">
        <v>900000</v>
      </c>
      <c r="D139" s="262">
        <v>779531</v>
      </c>
      <c r="E139" s="300" t="s">
        <v>1025</v>
      </c>
      <c r="F139" s="148"/>
    </row>
    <row r="140" spans="1:6" x14ac:dyDescent="0.25">
      <c r="A140" s="265" t="s">
        <v>1039</v>
      </c>
      <c r="B140" s="263"/>
      <c r="C140" s="263">
        <v>250000</v>
      </c>
      <c r="D140" s="262">
        <v>206162</v>
      </c>
      <c r="E140" s="300" t="s">
        <v>1025</v>
      </c>
      <c r="F140" s="148"/>
    </row>
    <row r="141" spans="1:6" x14ac:dyDescent="0.25">
      <c r="A141" s="265" t="s">
        <v>233</v>
      </c>
      <c r="B141" s="263">
        <v>5000000</v>
      </c>
      <c r="C141" s="263">
        <v>1050000</v>
      </c>
      <c r="D141" s="262">
        <f>503355+271053+185592</f>
        <v>960000</v>
      </c>
      <c r="E141" s="300" t="s">
        <v>1014</v>
      </c>
      <c r="F141" s="148"/>
    </row>
    <row r="142" spans="1:6" x14ac:dyDescent="0.25">
      <c r="A142" s="290"/>
      <c r="B142" s="281"/>
      <c r="C142" s="281"/>
      <c r="D142" s="303"/>
      <c r="E142" s="320"/>
      <c r="F142" s="148"/>
    </row>
    <row r="143" spans="1:6" x14ac:dyDescent="0.25">
      <c r="A143" s="290"/>
      <c r="B143" s="281"/>
      <c r="C143" s="281"/>
      <c r="D143" s="303"/>
      <c r="E143" s="320"/>
      <c r="F143" s="148"/>
    </row>
    <row r="144" spans="1:6" ht="16.5" x14ac:dyDescent="0.35">
      <c r="A144" s="286" t="s">
        <v>1038</v>
      </c>
      <c r="B144" s="319">
        <f>B146+B147+B148</f>
        <v>3650000</v>
      </c>
      <c r="C144" s="148"/>
      <c r="D144" s="13"/>
      <c r="E144" s="316"/>
      <c r="F144" s="148"/>
    </row>
    <row r="145" spans="1:6" ht="16.5" x14ac:dyDescent="0.35">
      <c r="A145" s="290"/>
      <c r="B145" s="298"/>
      <c r="C145" s="298"/>
      <c r="D145" s="318"/>
      <c r="E145" s="316"/>
      <c r="F145" s="148"/>
    </row>
    <row r="146" spans="1:6" x14ac:dyDescent="0.25">
      <c r="A146" s="314" t="s">
        <v>236</v>
      </c>
      <c r="B146" s="263">
        <v>150000</v>
      </c>
      <c r="C146" s="263"/>
      <c r="D146" s="262"/>
      <c r="E146" s="295" t="s">
        <v>978</v>
      </c>
      <c r="F146" s="148"/>
    </row>
    <row r="147" spans="1:6" x14ac:dyDescent="0.25">
      <c r="A147" s="314" t="s">
        <v>1037</v>
      </c>
      <c r="B147" s="263">
        <v>1500000</v>
      </c>
      <c r="C147" s="263">
        <v>200000</v>
      </c>
      <c r="D147" s="262"/>
      <c r="E147" s="278" t="s">
        <v>978</v>
      </c>
      <c r="F147" s="148"/>
    </row>
    <row r="148" spans="1:6" x14ac:dyDescent="0.25">
      <c r="A148" s="314" t="s">
        <v>1036</v>
      </c>
      <c r="B148" s="263">
        <v>2000000</v>
      </c>
      <c r="C148" s="263">
        <v>400000</v>
      </c>
      <c r="D148" s="262"/>
      <c r="E148" s="261" t="s">
        <v>972</v>
      </c>
      <c r="F148" s="148"/>
    </row>
    <row r="149" spans="1:6" x14ac:dyDescent="0.25">
      <c r="A149" s="265" t="s">
        <v>980</v>
      </c>
      <c r="B149" s="307"/>
      <c r="C149" s="307">
        <v>5800000</v>
      </c>
      <c r="D149" s="262">
        <f>321290+335610+1355790</f>
        <v>2012690</v>
      </c>
      <c r="E149" s="261" t="s">
        <v>993</v>
      </c>
      <c r="F149" s="148"/>
    </row>
    <row r="150" spans="1:6" x14ac:dyDescent="0.25">
      <c r="A150" s="290"/>
      <c r="B150" s="304"/>
      <c r="C150" s="304"/>
      <c r="D150" s="303"/>
      <c r="E150" s="305"/>
      <c r="F150" s="148"/>
    </row>
    <row r="151" spans="1:6" x14ac:dyDescent="0.25">
      <c r="A151" s="286" t="s">
        <v>240</v>
      </c>
      <c r="B151" s="304"/>
      <c r="C151" s="304"/>
      <c r="D151" s="303"/>
      <c r="E151" s="291"/>
      <c r="F151" s="148"/>
    </row>
    <row r="152" spans="1:6" x14ac:dyDescent="0.25">
      <c r="A152" s="317"/>
      <c r="B152" s="281"/>
      <c r="C152" s="281"/>
      <c r="D152" s="318"/>
      <c r="E152" s="316"/>
      <c r="F152" s="148"/>
    </row>
    <row r="153" spans="1:6" ht="16.5" x14ac:dyDescent="0.35">
      <c r="A153" s="317"/>
      <c r="B153" s="298">
        <f>SUM(B154:B191)</f>
        <v>53853000</v>
      </c>
      <c r="C153" s="298"/>
      <c r="D153" s="303"/>
      <c r="E153" s="316"/>
      <c r="F153" s="148"/>
    </row>
    <row r="154" spans="1:6" ht="16.5" x14ac:dyDescent="0.35">
      <c r="A154" s="265" t="s">
        <v>1035</v>
      </c>
      <c r="B154" s="315"/>
      <c r="C154" s="263">
        <v>5000000</v>
      </c>
      <c r="D154" s="262">
        <f>2289474+2289474</f>
        <v>4578948</v>
      </c>
      <c r="E154" s="314" t="s">
        <v>1025</v>
      </c>
      <c r="F154" s="148"/>
    </row>
    <row r="155" spans="1:6" x14ac:dyDescent="0.25">
      <c r="A155" s="265" t="s">
        <v>1034</v>
      </c>
      <c r="B155" s="308">
        <v>1500000</v>
      </c>
      <c r="C155" s="307"/>
      <c r="D155" s="262"/>
      <c r="E155" s="261" t="s">
        <v>1025</v>
      </c>
      <c r="F155" s="148"/>
    </row>
    <row r="156" spans="1:6" x14ac:dyDescent="0.25">
      <c r="A156" s="265" t="s">
        <v>1033</v>
      </c>
      <c r="B156" s="313">
        <v>300000</v>
      </c>
      <c r="C156" s="312"/>
      <c r="D156" s="262"/>
      <c r="E156" s="261" t="s">
        <v>978</v>
      </c>
      <c r="F156" s="148"/>
    </row>
    <row r="157" spans="1:6" x14ac:dyDescent="0.25">
      <c r="A157" s="265" t="s">
        <v>1032</v>
      </c>
      <c r="B157" s="308">
        <v>35000</v>
      </c>
      <c r="C157" s="307"/>
      <c r="D157" s="262"/>
      <c r="E157" s="261" t="s">
        <v>978</v>
      </c>
      <c r="F157" s="148"/>
    </row>
    <row r="158" spans="1:6" x14ac:dyDescent="0.25">
      <c r="A158" s="265" t="s">
        <v>1031</v>
      </c>
      <c r="B158" s="308">
        <v>6550000</v>
      </c>
      <c r="C158" s="307">
        <v>450000</v>
      </c>
      <c r="D158" s="262">
        <v>135229</v>
      </c>
      <c r="E158" s="261" t="s">
        <v>978</v>
      </c>
      <c r="F158" s="148"/>
    </row>
    <row r="159" spans="1:6" x14ac:dyDescent="0.25">
      <c r="A159" s="265" t="s">
        <v>245</v>
      </c>
      <c r="B159" s="308">
        <v>6550000</v>
      </c>
      <c r="C159" s="307">
        <v>450000</v>
      </c>
      <c r="D159" s="262"/>
      <c r="E159" s="261" t="s">
        <v>1030</v>
      </c>
      <c r="F159" s="148"/>
    </row>
    <row r="160" spans="1:6" x14ac:dyDescent="0.25">
      <c r="A160" s="265" t="s">
        <v>247</v>
      </c>
      <c r="B160" s="308">
        <v>3200000</v>
      </c>
      <c r="C160" s="307">
        <v>320000</v>
      </c>
      <c r="D160" s="266">
        <v>139693</v>
      </c>
      <c r="E160" s="261" t="s">
        <v>978</v>
      </c>
      <c r="F160" s="148"/>
    </row>
    <row r="161" spans="1:6" x14ac:dyDescent="0.25">
      <c r="A161" s="265" t="s">
        <v>1029</v>
      </c>
      <c r="B161" s="308">
        <v>6550000</v>
      </c>
      <c r="C161" s="307">
        <v>450000</v>
      </c>
      <c r="D161" s="262">
        <v>179660</v>
      </c>
      <c r="E161" s="261" t="s">
        <v>978</v>
      </c>
      <c r="F161" s="148"/>
    </row>
    <row r="162" spans="1:6" x14ac:dyDescent="0.25">
      <c r="A162" s="265" t="s">
        <v>1028</v>
      </c>
      <c r="B162" s="308">
        <v>0</v>
      </c>
      <c r="C162" s="307">
        <v>5300000</v>
      </c>
      <c r="D162" s="262">
        <f>85633+429347+998466+1007892+114658+1237170</f>
        <v>3873166</v>
      </c>
      <c r="E162" s="261" t="s">
        <v>1014</v>
      </c>
      <c r="F162" s="148"/>
    </row>
    <row r="163" spans="1:6" x14ac:dyDescent="0.25">
      <c r="A163" s="265" t="s">
        <v>1027</v>
      </c>
      <c r="B163" s="148"/>
      <c r="C163" s="308">
        <v>6000000</v>
      </c>
      <c r="D163" s="266">
        <f>917830+481043+575606+1082766</f>
        <v>3057245</v>
      </c>
      <c r="E163" s="261" t="s">
        <v>1014</v>
      </c>
      <c r="F163" s="148"/>
    </row>
    <row r="164" spans="1:6" x14ac:dyDescent="0.25">
      <c r="A164" s="265" t="s">
        <v>1026</v>
      </c>
      <c r="B164" s="308"/>
      <c r="C164" s="308">
        <v>700000</v>
      </c>
      <c r="D164" s="262">
        <v>611058</v>
      </c>
      <c r="E164" s="261" t="s">
        <v>1025</v>
      </c>
      <c r="F164" s="148"/>
    </row>
    <row r="165" spans="1:6" x14ac:dyDescent="0.25">
      <c r="A165" s="270" t="s">
        <v>1024</v>
      </c>
      <c r="B165" s="308">
        <v>1380000</v>
      </c>
      <c r="C165" s="308"/>
      <c r="D165" s="262"/>
      <c r="E165" s="261" t="s">
        <v>655</v>
      </c>
      <c r="F165" s="148"/>
    </row>
    <row r="166" spans="1:6" x14ac:dyDescent="0.25">
      <c r="A166" s="265" t="s">
        <v>251</v>
      </c>
      <c r="B166" s="270">
        <v>5500000</v>
      </c>
      <c r="C166" s="270"/>
      <c r="D166" s="311">
        <f>156343-67938</f>
        <v>88405</v>
      </c>
      <c r="E166" s="310" t="s">
        <v>1014</v>
      </c>
      <c r="F166" s="267"/>
    </row>
    <row r="167" spans="1:6" x14ac:dyDescent="0.25">
      <c r="A167" s="265" t="s">
        <v>1023</v>
      </c>
      <c r="B167" s="308">
        <v>5500000</v>
      </c>
      <c r="C167" s="307"/>
      <c r="D167" s="262"/>
      <c r="E167" s="278" t="s">
        <v>978</v>
      </c>
      <c r="F167" s="148"/>
    </row>
    <row r="168" spans="1:6" x14ac:dyDescent="0.25">
      <c r="A168" s="265" t="s">
        <v>1022</v>
      </c>
      <c r="B168" s="308">
        <v>28000</v>
      </c>
      <c r="C168" s="307"/>
      <c r="D168" s="262"/>
      <c r="E168" s="278" t="s">
        <v>978</v>
      </c>
      <c r="F168" s="148"/>
    </row>
    <row r="169" spans="1:6" x14ac:dyDescent="0.25">
      <c r="A169" s="265" t="s">
        <v>1021</v>
      </c>
      <c r="B169" s="308"/>
      <c r="C169" s="308">
        <v>2916000</v>
      </c>
      <c r="D169" s="262">
        <f>621161+53975+320215+387198+23232</f>
        <v>1405781</v>
      </c>
      <c r="E169" s="261" t="s">
        <v>1014</v>
      </c>
      <c r="F169" s="148"/>
    </row>
    <row r="170" spans="1:6" x14ac:dyDescent="0.25">
      <c r="A170" s="265" t="s">
        <v>1020</v>
      </c>
      <c r="B170" s="308"/>
      <c r="C170" s="308">
        <v>2332800</v>
      </c>
      <c r="D170" s="262"/>
      <c r="E170" s="261" t="s">
        <v>965</v>
      </c>
      <c r="F170" s="148"/>
    </row>
    <row r="171" spans="1:6" x14ac:dyDescent="0.25">
      <c r="A171" s="265" t="s">
        <v>1019</v>
      </c>
      <c r="B171" s="308"/>
      <c r="C171" s="308">
        <v>3337200</v>
      </c>
      <c r="D171" s="262"/>
      <c r="E171" s="261" t="s">
        <v>1014</v>
      </c>
      <c r="F171" s="148"/>
    </row>
    <row r="172" spans="1:6" x14ac:dyDescent="0.25">
      <c r="A172" s="265" t="s">
        <v>254</v>
      </c>
      <c r="B172" s="308">
        <v>3000000</v>
      </c>
      <c r="C172" s="308"/>
      <c r="D172" s="262"/>
      <c r="E172" s="261" t="s">
        <v>978</v>
      </c>
      <c r="F172" s="148"/>
    </row>
    <row r="173" spans="1:6" x14ac:dyDescent="0.25">
      <c r="A173" s="265" t="s">
        <v>932</v>
      </c>
      <c r="B173" s="308">
        <v>0</v>
      </c>
      <c r="C173" s="308">
        <v>2000000</v>
      </c>
      <c r="D173" s="262"/>
      <c r="E173" s="278" t="s">
        <v>978</v>
      </c>
      <c r="F173" s="148"/>
    </row>
    <row r="174" spans="1:6" x14ac:dyDescent="0.25">
      <c r="A174" s="265" t="s">
        <v>1018</v>
      </c>
      <c r="B174" s="308"/>
      <c r="C174" s="308">
        <v>4320000</v>
      </c>
      <c r="D174" s="262"/>
      <c r="E174" s="261" t="s">
        <v>1017</v>
      </c>
      <c r="F174" s="148"/>
    </row>
    <row r="175" spans="1:6" ht="24.75" x14ac:dyDescent="0.25">
      <c r="A175" s="265" t="s">
        <v>1016</v>
      </c>
      <c r="B175" s="148"/>
      <c r="C175" s="308">
        <v>6156000</v>
      </c>
      <c r="D175" s="266">
        <v>128260</v>
      </c>
      <c r="E175" s="277" t="s">
        <v>1014</v>
      </c>
      <c r="F175" s="148"/>
    </row>
    <row r="176" spans="1:6" x14ac:dyDescent="0.25">
      <c r="A176" s="265" t="s">
        <v>1015</v>
      </c>
      <c r="B176" s="308"/>
      <c r="C176" s="307">
        <v>7623720</v>
      </c>
      <c r="D176" s="262">
        <f>918258+545974+916056+1895561</f>
        <v>4275849</v>
      </c>
      <c r="E176" s="261" t="s">
        <v>1014</v>
      </c>
      <c r="F176" s="148"/>
    </row>
    <row r="177" spans="1:6" x14ac:dyDescent="0.25">
      <c r="A177" s="265" t="s">
        <v>1013</v>
      </c>
      <c r="B177" s="308"/>
      <c r="C177" s="307">
        <v>2600000</v>
      </c>
      <c r="D177" s="262">
        <v>2600000</v>
      </c>
      <c r="E177" s="261" t="s">
        <v>1012</v>
      </c>
      <c r="F177" s="148"/>
    </row>
    <row r="178" spans="1:6" x14ac:dyDescent="0.25">
      <c r="A178" s="265" t="s">
        <v>1011</v>
      </c>
      <c r="B178" s="308">
        <v>3100000</v>
      </c>
      <c r="C178" s="307">
        <v>400000</v>
      </c>
      <c r="D178" s="262"/>
      <c r="E178" s="261" t="s">
        <v>1010</v>
      </c>
      <c r="F178" s="148"/>
    </row>
    <row r="179" spans="1:6" x14ac:dyDescent="0.25">
      <c r="A179" s="265" t="s">
        <v>928</v>
      </c>
      <c r="B179" s="308">
        <v>0</v>
      </c>
      <c r="C179" s="307"/>
      <c r="D179" s="262"/>
      <c r="E179" s="261" t="s">
        <v>974</v>
      </c>
      <c r="F179" s="148"/>
    </row>
    <row r="180" spans="1:6" x14ac:dyDescent="0.25">
      <c r="A180" s="265" t="s">
        <v>1009</v>
      </c>
      <c r="B180" s="308">
        <v>1200000</v>
      </c>
      <c r="C180" s="307"/>
      <c r="D180" s="262"/>
      <c r="E180" s="261" t="s">
        <v>978</v>
      </c>
      <c r="F180" s="148"/>
    </row>
    <row r="181" spans="1:6" x14ac:dyDescent="0.25">
      <c r="A181" s="265" t="s">
        <v>1008</v>
      </c>
      <c r="B181" s="308">
        <v>450000</v>
      </c>
      <c r="C181" s="307"/>
      <c r="D181" s="262"/>
      <c r="E181" s="261" t="s">
        <v>958</v>
      </c>
      <c r="F181" s="148"/>
    </row>
    <row r="182" spans="1:6" x14ac:dyDescent="0.25">
      <c r="A182" s="265" t="s">
        <v>1007</v>
      </c>
      <c r="B182" s="308">
        <v>450000</v>
      </c>
      <c r="C182" s="307"/>
      <c r="D182" s="262"/>
      <c r="E182" s="261" t="s">
        <v>958</v>
      </c>
      <c r="F182" s="148"/>
    </row>
    <row r="183" spans="1:6" x14ac:dyDescent="0.25">
      <c r="A183" s="307" t="s">
        <v>260</v>
      </c>
      <c r="B183" s="263">
        <v>450000</v>
      </c>
      <c r="C183" s="263"/>
      <c r="D183" s="266"/>
      <c r="E183" s="261" t="s">
        <v>958</v>
      </c>
      <c r="F183" s="148"/>
    </row>
    <row r="184" spans="1:6" x14ac:dyDescent="0.25">
      <c r="A184" s="307" t="s">
        <v>1006</v>
      </c>
      <c r="B184" s="263">
        <v>220000</v>
      </c>
      <c r="C184" s="307"/>
      <c r="D184" s="309"/>
      <c r="E184" s="261" t="s">
        <v>655</v>
      </c>
      <c r="F184" s="148"/>
    </row>
    <row r="185" spans="1:6" x14ac:dyDescent="0.25">
      <c r="A185" s="307" t="s">
        <v>1005</v>
      </c>
      <c r="B185" s="263">
        <v>220000</v>
      </c>
      <c r="C185" s="307"/>
      <c r="D185" s="309"/>
      <c r="E185" s="261" t="s">
        <v>958</v>
      </c>
      <c r="F185" s="148"/>
    </row>
    <row r="186" spans="1:6" x14ac:dyDescent="0.25">
      <c r="A186" s="307" t="s">
        <v>1004</v>
      </c>
      <c r="B186" s="263">
        <v>220000</v>
      </c>
      <c r="C186" s="307"/>
      <c r="D186" s="309"/>
      <c r="E186" s="261" t="s">
        <v>655</v>
      </c>
      <c r="F186" s="148"/>
    </row>
    <row r="187" spans="1:6" x14ac:dyDescent="0.25">
      <c r="A187" s="307" t="s">
        <v>410</v>
      </c>
      <c r="B187" s="263">
        <v>450000</v>
      </c>
      <c r="C187" s="307"/>
      <c r="D187" s="309"/>
      <c r="E187" s="261" t="s">
        <v>958</v>
      </c>
      <c r="F187" s="148"/>
    </row>
    <row r="188" spans="1:6" x14ac:dyDescent="0.25">
      <c r="A188" s="307" t="s">
        <v>1003</v>
      </c>
      <c r="B188" s="263">
        <v>7000000</v>
      </c>
      <c r="C188" s="307"/>
      <c r="D188" s="309"/>
      <c r="E188" s="261" t="s">
        <v>972</v>
      </c>
      <c r="F188" s="148"/>
    </row>
    <row r="189" spans="1:6" x14ac:dyDescent="0.25">
      <c r="A189" s="265" t="s">
        <v>1002</v>
      </c>
      <c r="B189" s="263">
        <v>0</v>
      </c>
      <c r="C189" s="307">
        <v>610137.13</v>
      </c>
      <c r="D189" s="309"/>
      <c r="E189" s="261" t="s">
        <v>965</v>
      </c>
      <c r="F189" s="148"/>
    </row>
    <row r="190" spans="1:6" x14ac:dyDescent="0.25">
      <c r="A190" s="265" t="s">
        <v>1001</v>
      </c>
      <c r="B190" s="308"/>
      <c r="C190" s="307">
        <v>365523</v>
      </c>
      <c r="D190" s="262"/>
      <c r="E190" s="261" t="s">
        <v>965</v>
      </c>
      <c r="F190" s="148"/>
    </row>
    <row r="191" spans="1:6" x14ac:dyDescent="0.25">
      <c r="A191" s="307" t="s">
        <v>1000</v>
      </c>
      <c r="B191" s="263"/>
      <c r="C191" s="263">
        <v>6048000</v>
      </c>
      <c r="D191" s="266">
        <f>61930+1023077</f>
        <v>1085007</v>
      </c>
      <c r="E191" s="261" t="s">
        <v>965</v>
      </c>
      <c r="F191" s="148"/>
    </row>
    <row r="192" spans="1:6" x14ac:dyDescent="0.25">
      <c r="A192" s="304"/>
      <c r="B192" s="281"/>
      <c r="C192" s="281"/>
      <c r="D192" s="306"/>
      <c r="E192" s="305"/>
      <c r="F192" s="148"/>
    </row>
    <row r="193" spans="1:6" x14ac:dyDescent="0.25">
      <c r="A193" s="286" t="s">
        <v>999</v>
      </c>
      <c r="B193" s="304"/>
      <c r="C193" s="304"/>
      <c r="D193" s="303"/>
      <c r="E193" s="302"/>
      <c r="F193" s="148"/>
    </row>
    <row r="194" spans="1:6" ht="16.5" x14ac:dyDescent="0.35">
      <c r="A194" s="290"/>
      <c r="B194" s="301">
        <f>SUM(B195:B197)</f>
        <v>670000</v>
      </c>
      <c r="C194" s="297"/>
      <c r="D194" s="296"/>
      <c r="E194" s="256"/>
      <c r="F194" s="148"/>
    </row>
    <row r="195" spans="1:6" x14ac:dyDescent="0.25">
      <c r="A195" s="261" t="s">
        <v>998</v>
      </c>
      <c r="B195" s="299">
        <v>20000</v>
      </c>
      <c r="C195" s="263"/>
      <c r="D195" s="279"/>
      <c r="E195" s="300" t="s">
        <v>712</v>
      </c>
      <c r="F195" s="148"/>
    </row>
    <row r="196" spans="1:6" x14ac:dyDescent="0.25">
      <c r="A196" s="261" t="s">
        <v>997</v>
      </c>
      <c r="B196" s="299">
        <v>300000</v>
      </c>
      <c r="C196" s="263"/>
      <c r="D196" s="279">
        <v>68282</v>
      </c>
      <c r="E196" s="300" t="s">
        <v>968</v>
      </c>
      <c r="F196" s="148"/>
    </row>
    <row r="197" spans="1:6" x14ac:dyDescent="0.25">
      <c r="A197" s="261" t="s">
        <v>996</v>
      </c>
      <c r="B197" s="299">
        <v>350000</v>
      </c>
      <c r="C197" s="263"/>
      <c r="D197" s="279"/>
      <c r="E197" s="261" t="s">
        <v>655</v>
      </c>
      <c r="F197" s="148"/>
    </row>
    <row r="198" spans="1:6" x14ac:dyDescent="0.25">
      <c r="A198" s="290"/>
      <c r="B198" s="293"/>
      <c r="C198" s="294"/>
      <c r="D198" s="279"/>
      <c r="E198" s="265"/>
      <c r="F198" s="148"/>
    </row>
    <row r="199" spans="1:6" x14ac:dyDescent="0.25">
      <c r="A199" s="286" t="s">
        <v>995</v>
      </c>
      <c r="B199" s="281"/>
      <c r="C199" s="281"/>
      <c r="D199" s="280"/>
      <c r="E199" s="291"/>
      <c r="F199" s="148"/>
    </row>
    <row r="200" spans="1:6" x14ac:dyDescent="0.25">
      <c r="A200" s="290"/>
      <c r="B200" s="297"/>
      <c r="C200" s="297"/>
      <c r="D200" s="296"/>
      <c r="E200" s="256"/>
      <c r="F200" s="148"/>
    </row>
    <row r="201" spans="1:6" ht="16.5" x14ac:dyDescent="0.35">
      <c r="A201" s="148"/>
      <c r="B201" s="298">
        <f>SUM(B203:B206)</f>
        <v>5526472</v>
      </c>
      <c r="C201" s="298"/>
      <c r="D201" s="296"/>
      <c r="E201" s="256"/>
      <c r="F201" s="148"/>
    </row>
    <row r="202" spans="1:6" x14ac:dyDescent="0.25">
      <c r="A202" s="148"/>
      <c r="B202" s="297"/>
      <c r="C202" s="297"/>
      <c r="D202" s="296"/>
      <c r="E202" s="256"/>
      <c r="F202" s="148"/>
    </row>
    <row r="203" spans="1:6" x14ac:dyDescent="0.25">
      <c r="A203" s="261" t="s">
        <v>994</v>
      </c>
      <c r="B203" s="293">
        <v>5326472</v>
      </c>
      <c r="C203" s="294"/>
      <c r="D203" s="279">
        <f>264611+525464</f>
        <v>790075</v>
      </c>
      <c r="E203" s="295" t="s">
        <v>993</v>
      </c>
      <c r="F203" s="148"/>
    </row>
    <row r="204" spans="1:6" x14ac:dyDescent="0.25">
      <c r="A204" s="261" t="s">
        <v>992</v>
      </c>
      <c r="B204" s="293">
        <v>200000</v>
      </c>
      <c r="C204" s="294"/>
      <c r="D204" s="279"/>
      <c r="E204" s="295" t="s">
        <v>991</v>
      </c>
      <c r="F204" s="148"/>
    </row>
    <row r="205" spans="1:6" x14ac:dyDescent="0.25">
      <c r="A205" s="261" t="s">
        <v>990</v>
      </c>
      <c r="B205" s="294"/>
      <c r="C205" s="293">
        <v>1000000</v>
      </c>
      <c r="D205" s="279"/>
      <c r="E205" s="277" t="s">
        <v>989</v>
      </c>
      <c r="F205" s="148"/>
    </row>
    <row r="206" spans="1:6" x14ac:dyDescent="0.25">
      <c r="A206" s="265"/>
      <c r="B206" s="263"/>
      <c r="C206" s="265"/>
      <c r="D206" s="266"/>
      <c r="E206" s="265"/>
      <c r="F206" s="148"/>
    </row>
    <row r="207" spans="1:6" x14ac:dyDescent="0.25">
      <c r="A207" s="290"/>
      <c r="B207" s="292"/>
      <c r="C207" s="292"/>
      <c r="D207" s="280"/>
      <c r="E207" s="291"/>
      <c r="F207" s="148"/>
    </row>
    <row r="208" spans="1:6" ht="16.5" x14ac:dyDescent="0.35">
      <c r="A208" s="290"/>
      <c r="B208" s="289">
        <f>B7+B16+B23+B30+B38+B55+B60+B83+B91+B97+B115+B136+B144+B153+B194+B201</f>
        <v>112535472</v>
      </c>
      <c r="C208" s="289">
        <f>SUM(C8:C207)</f>
        <v>91979253.199999988</v>
      </c>
      <c r="D208" s="288">
        <f>SUM(D5:D207)</f>
        <v>39135349</v>
      </c>
      <c r="E208" s="287">
        <f>D208/B208*100</f>
        <v>34.776011780534411</v>
      </c>
      <c r="F208" s="148"/>
    </row>
    <row r="209" spans="1:6" ht="16.5" x14ac:dyDescent="0.35">
      <c r="A209" s="286" t="s">
        <v>988</v>
      </c>
      <c r="B209" s="281"/>
      <c r="C209" s="281"/>
      <c r="D209" s="285"/>
      <c r="E209" s="256"/>
      <c r="F209" s="148"/>
    </row>
    <row r="210" spans="1:6" x14ac:dyDescent="0.25">
      <c r="A210" s="148"/>
      <c r="B210" s="281"/>
      <c r="C210" s="281"/>
      <c r="D210" s="280"/>
      <c r="E210" s="284"/>
      <c r="F210" s="148"/>
    </row>
    <row r="211" spans="1:6" x14ac:dyDescent="0.25">
      <c r="A211" s="148"/>
      <c r="B211" s="283">
        <f>SUM(B212:B242)</f>
        <v>53440000</v>
      </c>
      <c r="C211" s="283">
        <f>SUM(C212:C242)</f>
        <v>14316360.469999999</v>
      </c>
      <c r="D211" s="282">
        <f>SUM(D212:D242)</f>
        <v>10986419</v>
      </c>
      <c r="E211" s="258">
        <f>D211/67756360*100</f>
        <v>16.214594467589464</v>
      </c>
      <c r="F211" s="148"/>
    </row>
    <row r="212" spans="1:6" x14ac:dyDescent="0.25">
      <c r="A212" s="265" t="s">
        <v>987</v>
      </c>
      <c r="B212" s="264">
        <v>8965000</v>
      </c>
      <c r="C212" s="263">
        <v>478582.5</v>
      </c>
      <c r="D212" s="279">
        <v>241633</v>
      </c>
      <c r="E212" s="261" t="s">
        <v>974</v>
      </c>
      <c r="F212" s="148"/>
    </row>
    <row r="213" spans="1:6" x14ac:dyDescent="0.25">
      <c r="A213" s="265" t="s">
        <v>267</v>
      </c>
      <c r="B213" s="264">
        <v>5400000</v>
      </c>
      <c r="C213" s="263">
        <v>441000</v>
      </c>
      <c r="D213" s="279"/>
      <c r="E213" s="261" t="s">
        <v>974</v>
      </c>
      <c r="F213" s="148"/>
    </row>
    <row r="214" spans="1:6" x14ac:dyDescent="0.25">
      <c r="A214" s="265" t="s">
        <v>986</v>
      </c>
      <c r="B214" s="264">
        <v>1500000</v>
      </c>
      <c r="C214" s="281">
        <f>359129.08+3176324.94</f>
        <v>3535454.02</v>
      </c>
      <c r="D214" s="280">
        <f>477253+849012+335287-17339</f>
        <v>1644213</v>
      </c>
      <c r="E214" s="261" t="s">
        <v>968</v>
      </c>
      <c r="F214" s="148"/>
    </row>
    <row r="215" spans="1:6" x14ac:dyDescent="0.25">
      <c r="A215" s="265" t="s">
        <v>985</v>
      </c>
      <c r="B215" s="264">
        <v>3600000</v>
      </c>
      <c r="C215" s="263">
        <v>315789.46999999997</v>
      </c>
      <c r="D215" s="279"/>
      <c r="E215" s="261" t="s">
        <v>974</v>
      </c>
      <c r="F215" s="148"/>
    </row>
    <row r="216" spans="1:6" x14ac:dyDescent="0.25">
      <c r="A216" s="265" t="s">
        <v>984</v>
      </c>
      <c r="B216" s="264">
        <v>5950000</v>
      </c>
      <c r="C216" s="263">
        <v>364423.05</v>
      </c>
      <c r="D216" s="279"/>
      <c r="E216" s="261" t="s">
        <v>968</v>
      </c>
      <c r="F216" s="148"/>
    </row>
    <row r="217" spans="1:6" x14ac:dyDescent="0.25">
      <c r="A217" s="265" t="s">
        <v>983</v>
      </c>
      <c r="B217" s="264"/>
      <c r="C217" s="263">
        <f>57940.07+389823.23</f>
        <v>447763.3</v>
      </c>
      <c r="D217" s="276">
        <f>389823+44013</f>
        <v>433836</v>
      </c>
      <c r="E217" s="261" t="s">
        <v>965</v>
      </c>
      <c r="F217" s="148"/>
    </row>
    <row r="218" spans="1:6" x14ac:dyDescent="0.25">
      <c r="A218" s="265" t="s">
        <v>982</v>
      </c>
      <c r="B218" s="264">
        <v>5950000</v>
      </c>
      <c r="C218" s="263">
        <v>248111.11</v>
      </c>
      <c r="D218" s="276"/>
      <c r="E218" s="261" t="s">
        <v>974</v>
      </c>
      <c r="F218" s="148"/>
    </row>
    <row r="219" spans="1:6" x14ac:dyDescent="0.25">
      <c r="A219" s="265" t="s">
        <v>981</v>
      </c>
      <c r="B219" s="264"/>
      <c r="C219" s="263">
        <v>70230.460000000006</v>
      </c>
      <c r="D219" s="266"/>
      <c r="E219" s="261" t="s">
        <v>965</v>
      </c>
      <c r="F219" s="148"/>
    </row>
    <row r="220" spans="1:6" x14ac:dyDescent="0.25">
      <c r="A220" s="265" t="s">
        <v>980</v>
      </c>
      <c r="B220" s="264"/>
      <c r="C220" s="263">
        <v>74448.75</v>
      </c>
      <c r="D220" s="266"/>
      <c r="E220" s="261" t="s">
        <v>974</v>
      </c>
      <c r="F220" s="148"/>
    </row>
    <row r="221" spans="1:6" x14ac:dyDescent="0.25">
      <c r="A221" s="265" t="s">
        <v>979</v>
      </c>
      <c r="B221" s="264"/>
      <c r="C221" s="263"/>
      <c r="D221" s="276"/>
      <c r="E221" s="278" t="s">
        <v>978</v>
      </c>
      <c r="F221" s="148"/>
    </row>
    <row r="222" spans="1:6" x14ac:dyDescent="0.25">
      <c r="A222" s="265" t="s">
        <v>977</v>
      </c>
      <c r="B222" s="264">
        <v>2000000</v>
      </c>
      <c r="C222" s="263">
        <v>1415620.36</v>
      </c>
      <c r="D222" s="276">
        <f>1087684+366576+361858+23478</f>
        <v>1839596</v>
      </c>
      <c r="E222" s="261" t="s">
        <v>968</v>
      </c>
      <c r="F222" s="148"/>
    </row>
    <row r="223" spans="1:6" x14ac:dyDescent="0.25">
      <c r="A223" s="265" t="s">
        <v>976</v>
      </c>
      <c r="B223" s="264">
        <v>1000000</v>
      </c>
      <c r="C223" s="263">
        <f>53468.51+3093687.83</f>
        <v>3147156.34</v>
      </c>
      <c r="D223" s="276">
        <f>657888+73099+1368390+465660+51740</f>
        <v>2616777</v>
      </c>
      <c r="E223" s="261" t="s">
        <v>968</v>
      </c>
      <c r="F223" s="148"/>
    </row>
    <row r="224" spans="1:6" x14ac:dyDescent="0.25">
      <c r="A224" s="265" t="s">
        <v>975</v>
      </c>
      <c r="B224" s="264">
        <v>5600000</v>
      </c>
      <c r="C224" s="263">
        <v>400000</v>
      </c>
      <c r="D224" s="276"/>
      <c r="E224" s="261" t="s">
        <v>974</v>
      </c>
      <c r="F224" s="148"/>
    </row>
    <row r="225" spans="1:6" x14ac:dyDescent="0.25">
      <c r="A225" s="265" t="s">
        <v>277</v>
      </c>
      <c r="B225" s="264">
        <v>2100000</v>
      </c>
      <c r="C225" s="263">
        <v>221000</v>
      </c>
      <c r="D225" s="276">
        <v>132600</v>
      </c>
      <c r="E225" s="261" t="s">
        <v>974</v>
      </c>
      <c r="F225" s="148"/>
    </row>
    <row r="226" spans="1:6" x14ac:dyDescent="0.25">
      <c r="A226" s="265" t="s">
        <v>279</v>
      </c>
      <c r="B226" s="264">
        <v>2100000</v>
      </c>
      <c r="C226" s="263">
        <v>237271.19</v>
      </c>
      <c r="D226" s="276">
        <v>142363</v>
      </c>
      <c r="E226" s="261" t="s">
        <v>974</v>
      </c>
      <c r="F226" s="148"/>
    </row>
    <row r="227" spans="1:6" x14ac:dyDescent="0.25">
      <c r="A227" s="265" t="s">
        <v>973</v>
      </c>
      <c r="B227" s="264">
        <v>375000</v>
      </c>
      <c r="C227" s="263"/>
      <c r="D227" s="276"/>
      <c r="E227" s="261" t="s">
        <v>972</v>
      </c>
      <c r="F227" s="148"/>
    </row>
    <row r="228" spans="1:6" ht="24.75" x14ac:dyDescent="0.25">
      <c r="A228" s="265" t="s">
        <v>281</v>
      </c>
      <c r="B228" s="264">
        <v>3600000</v>
      </c>
      <c r="C228" s="263"/>
      <c r="D228" s="276">
        <f>827871+898773</f>
        <v>1726644</v>
      </c>
      <c r="E228" s="277" t="s">
        <v>968</v>
      </c>
      <c r="F228" s="148"/>
    </row>
    <row r="229" spans="1:6" x14ac:dyDescent="0.25">
      <c r="A229" s="265" t="s">
        <v>971</v>
      </c>
      <c r="B229" s="264"/>
      <c r="C229" s="263"/>
      <c r="D229" s="276"/>
      <c r="E229" s="261"/>
      <c r="F229" s="148"/>
    </row>
    <row r="230" spans="1:6" x14ac:dyDescent="0.25">
      <c r="A230" s="265" t="s">
        <v>970</v>
      </c>
      <c r="B230" s="264"/>
      <c r="C230" s="263">
        <v>504564.62</v>
      </c>
      <c r="D230" s="276"/>
      <c r="E230" s="261" t="s">
        <v>965</v>
      </c>
      <c r="F230" s="148"/>
    </row>
    <row r="231" spans="1:6" x14ac:dyDescent="0.25">
      <c r="A231" s="265" t="s">
        <v>969</v>
      </c>
      <c r="B231" s="264">
        <v>1700000</v>
      </c>
      <c r="C231" s="263">
        <v>2414945.2999999998</v>
      </c>
      <c r="D231" s="276">
        <f>1955540+180401+72816</f>
        <v>2208757</v>
      </c>
      <c r="E231" s="261" t="s">
        <v>968</v>
      </c>
      <c r="F231" s="148"/>
    </row>
    <row r="232" spans="1:6" x14ac:dyDescent="0.25">
      <c r="A232" s="265" t="s">
        <v>967</v>
      </c>
      <c r="B232" s="264"/>
      <c r="C232" s="263"/>
      <c r="D232" s="266"/>
      <c r="E232" s="261" t="s">
        <v>965</v>
      </c>
      <c r="F232" s="148"/>
    </row>
    <row r="233" spans="1:6" x14ac:dyDescent="0.25">
      <c r="A233" s="265" t="s">
        <v>966</v>
      </c>
      <c r="B233" s="264"/>
      <c r="C233" s="263"/>
      <c r="D233" s="266"/>
      <c r="E233" s="261" t="s">
        <v>965</v>
      </c>
      <c r="F233" s="148"/>
    </row>
    <row r="234" spans="1:6" x14ac:dyDescent="0.25">
      <c r="A234" s="275" t="s">
        <v>282</v>
      </c>
      <c r="B234" s="274">
        <v>400000</v>
      </c>
      <c r="C234" s="273"/>
      <c r="D234" s="272"/>
      <c r="E234" s="261" t="s">
        <v>964</v>
      </c>
      <c r="F234" s="148"/>
    </row>
    <row r="235" spans="1:6" x14ac:dyDescent="0.25">
      <c r="A235" s="265" t="s">
        <v>283</v>
      </c>
      <c r="B235" s="264">
        <v>400000</v>
      </c>
      <c r="C235" s="263"/>
      <c r="D235" s="266"/>
      <c r="E235" s="261" t="s">
        <v>964</v>
      </c>
      <c r="F235" s="271"/>
    </row>
    <row r="236" spans="1:6" x14ac:dyDescent="0.25">
      <c r="A236" s="265" t="s">
        <v>963</v>
      </c>
      <c r="B236" s="264">
        <v>400000</v>
      </c>
      <c r="C236" s="263"/>
      <c r="D236" s="266"/>
      <c r="E236" s="261" t="s">
        <v>958</v>
      </c>
      <c r="F236" s="148"/>
    </row>
    <row r="237" spans="1:6" x14ac:dyDescent="0.25">
      <c r="A237" s="265" t="s">
        <v>962</v>
      </c>
      <c r="B237" s="264">
        <v>400000</v>
      </c>
      <c r="C237" s="263"/>
      <c r="D237" s="266"/>
      <c r="E237" s="261" t="s">
        <v>958</v>
      </c>
      <c r="F237" s="148"/>
    </row>
    <row r="238" spans="1:6" x14ac:dyDescent="0.25">
      <c r="A238" s="270" t="s">
        <v>961</v>
      </c>
      <c r="B238" s="264">
        <v>400000</v>
      </c>
      <c r="C238" s="269"/>
      <c r="D238" s="268"/>
      <c r="E238" s="261" t="s">
        <v>958</v>
      </c>
      <c r="F238" s="148"/>
    </row>
    <row r="239" spans="1:6" x14ac:dyDescent="0.25">
      <c r="A239" s="265" t="s">
        <v>960</v>
      </c>
      <c r="B239" s="264">
        <v>400000</v>
      </c>
      <c r="C239" s="263"/>
      <c r="D239" s="266"/>
      <c r="E239" s="261" t="s">
        <v>958</v>
      </c>
      <c r="F239" s="267"/>
    </row>
    <row r="240" spans="1:6" x14ac:dyDescent="0.25">
      <c r="A240" s="265" t="s">
        <v>959</v>
      </c>
      <c r="B240" s="264">
        <v>400000</v>
      </c>
      <c r="C240" s="263"/>
      <c r="D240" s="266"/>
      <c r="E240" s="261" t="s">
        <v>958</v>
      </c>
      <c r="F240" s="148"/>
    </row>
    <row r="241" spans="1:6" x14ac:dyDescent="0.25">
      <c r="A241" s="265" t="s">
        <v>289</v>
      </c>
      <c r="B241" s="264">
        <v>400000</v>
      </c>
      <c r="C241" s="263"/>
      <c r="D241" s="266"/>
      <c r="E241" s="261" t="s">
        <v>958</v>
      </c>
      <c r="F241" s="148"/>
    </row>
    <row r="242" spans="1:6" x14ac:dyDescent="0.25">
      <c r="A242" s="265" t="s">
        <v>290</v>
      </c>
      <c r="B242" s="264">
        <v>400000</v>
      </c>
      <c r="C242" s="263"/>
      <c r="D242" s="262"/>
      <c r="E242" s="261" t="s">
        <v>958</v>
      </c>
      <c r="F242" s="148"/>
    </row>
    <row r="243" spans="1:6" x14ac:dyDescent="0.25">
      <c r="A243" s="148"/>
      <c r="B243" s="148"/>
      <c r="C243" s="148"/>
      <c r="D243" s="257"/>
      <c r="E243" s="256"/>
      <c r="F243" s="148"/>
    </row>
    <row r="244" spans="1:6" x14ac:dyDescent="0.25">
      <c r="A244" s="148"/>
      <c r="B244" s="260">
        <f>SUM(B208+B211)</f>
        <v>165975472</v>
      </c>
      <c r="C244" s="260">
        <f>C208+C211</f>
        <v>106295613.66999999</v>
      </c>
      <c r="D244" s="259">
        <f>D208+D211</f>
        <v>50121768</v>
      </c>
      <c r="E244" s="258">
        <f>E208+E211</f>
        <v>50.990606248123875</v>
      </c>
      <c r="F244" s="148"/>
    </row>
    <row r="245" spans="1:6" x14ac:dyDescent="0.25">
      <c r="A245" s="148"/>
      <c r="B245" s="148"/>
      <c r="C245" s="148"/>
      <c r="D245" s="257"/>
      <c r="E245" s="256"/>
      <c r="F245" s="148"/>
    </row>
  </sheetData>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view="pageBreakPreview" zoomScaleNormal="100" zoomScaleSheetLayoutView="100" workbookViewId="0">
      <selection activeCell="F52" sqref="F52"/>
    </sheetView>
  </sheetViews>
  <sheetFormatPr defaultRowHeight="15" x14ac:dyDescent="0.25"/>
  <cols>
    <col min="2" max="2" width="18.28515625" customWidth="1"/>
    <col min="3" max="3" width="21" customWidth="1"/>
    <col min="4" max="4" width="17.85546875" customWidth="1"/>
    <col min="5" max="5" width="18" customWidth="1"/>
    <col min="6" max="6" width="11.140625" customWidth="1"/>
  </cols>
  <sheetData>
    <row r="1" spans="1:6" x14ac:dyDescent="0.25">
      <c r="A1" s="23"/>
      <c r="B1" s="23"/>
      <c r="C1" s="23"/>
      <c r="D1" s="23"/>
      <c r="E1" s="23"/>
      <c r="F1" s="23"/>
    </row>
    <row r="2" spans="1:6" ht="15.75" x14ac:dyDescent="0.25">
      <c r="A2" s="351" t="s">
        <v>637</v>
      </c>
      <c r="B2" s="351"/>
      <c r="C2" s="23"/>
      <c r="D2" s="23"/>
      <c r="E2" s="23"/>
      <c r="F2" s="23"/>
    </row>
    <row r="3" spans="1:6" ht="15.75" x14ac:dyDescent="0.25">
      <c r="A3" s="351"/>
      <c r="B3" s="351"/>
      <c r="C3" s="23"/>
      <c r="D3" s="23"/>
      <c r="E3" s="23"/>
      <c r="F3" s="23"/>
    </row>
    <row r="4" spans="1:6" x14ac:dyDescent="0.25">
      <c r="A4" s="352" t="s">
        <v>1124</v>
      </c>
      <c r="B4" s="352"/>
      <c r="C4" s="23"/>
      <c r="D4" s="23"/>
      <c r="E4" s="23"/>
      <c r="F4" s="23"/>
    </row>
    <row r="5" spans="1:6" x14ac:dyDescent="0.25">
      <c r="A5" s="352"/>
      <c r="B5" s="352"/>
      <c r="C5" s="23"/>
      <c r="D5" s="23"/>
      <c r="E5" s="23"/>
      <c r="F5" s="23"/>
    </row>
    <row r="6" spans="1:6" x14ac:dyDescent="0.25">
      <c r="A6" s="353" t="s">
        <v>1125</v>
      </c>
      <c r="B6" s="353" t="s">
        <v>1126</v>
      </c>
      <c r="C6" s="353" t="s">
        <v>1127</v>
      </c>
      <c r="D6" s="354" t="s">
        <v>1128</v>
      </c>
      <c r="E6" s="353" t="s">
        <v>1129</v>
      </c>
      <c r="F6" s="355" t="s">
        <v>1130</v>
      </c>
    </row>
    <row r="7" spans="1:6" x14ac:dyDescent="0.25">
      <c r="A7" s="356" t="s">
        <v>1131</v>
      </c>
      <c r="B7" s="357" t="s">
        <v>1132</v>
      </c>
      <c r="C7" s="357" t="s">
        <v>1133</v>
      </c>
      <c r="D7" s="358">
        <v>940699</v>
      </c>
      <c r="E7" s="359">
        <v>557451</v>
      </c>
      <c r="F7" s="360">
        <f>E7/D7*100</f>
        <v>59.259231698981282</v>
      </c>
    </row>
    <row r="8" spans="1:6" x14ac:dyDescent="0.25">
      <c r="A8" s="361"/>
      <c r="B8" s="361"/>
      <c r="C8" s="361"/>
      <c r="D8" s="23"/>
      <c r="E8" s="362"/>
      <c r="F8" s="361"/>
    </row>
    <row r="9" spans="1:6" x14ac:dyDescent="0.25">
      <c r="A9" s="29"/>
      <c r="B9" s="29"/>
      <c r="C9" s="23"/>
      <c r="D9" s="23"/>
      <c r="E9" s="23"/>
      <c r="F9" s="23"/>
    </row>
    <row r="10" spans="1:6" x14ac:dyDescent="0.25">
      <c r="A10" s="23"/>
      <c r="B10" s="23"/>
      <c r="C10" s="23"/>
      <c r="D10" s="23"/>
      <c r="E10" s="23"/>
      <c r="F10" s="23"/>
    </row>
    <row r="11" spans="1:6" x14ac:dyDescent="0.25">
      <c r="A11" s="363" t="s">
        <v>1134</v>
      </c>
      <c r="B11" s="364" t="s">
        <v>1135</v>
      </c>
      <c r="C11" s="364" t="s">
        <v>1133</v>
      </c>
      <c r="D11" s="358">
        <v>1012209</v>
      </c>
      <c r="E11" s="365">
        <v>291356</v>
      </c>
      <c r="F11" s="360">
        <f>E11/D11*100</f>
        <v>28.784174019397181</v>
      </c>
    </row>
    <row r="12" spans="1:6" x14ac:dyDescent="0.25">
      <c r="A12" s="29"/>
      <c r="B12" s="29"/>
      <c r="C12" s="23"/>
      <c r="D12" s="23"/>
      <c r="E12" s="23"/>
      <c r="F12" s="23"/>
    </row>
    <row r="13" spans="1:6" x14ac:dyDescent="0.25">
      <c r="A13" s="29"/>
      <c r="B13" s="29"/>
      <c r="C13" s="23"/>
      <c r="D13" s="23"/>
      <c r="E13" s="23"/>
      <c r="F13" s="23"/>
    </row>
    <row r="14" spans="1:6" x14ac:dyDescent="0.25">
      <c r="A14" s="29"/>
      <c r="B14" s="29"/>
      <c r="C14" s="23"/>
      <c r="D14" s="23"/>
      <c r="E14" s="23"/>
      <c r="F14" s="23"/>
    </row>
    <row r="15" spans="1:6" x14ac:dyDescent="0.25">
      <c r="A15" s="363" t="s">
        <v>1136</v>
      </c>
      <c r="B15" s="364" t="s">
        <v>1137</v>
      </c>
      <c r="C15" s="364" t="s">
        <v>1133</v>
      </c>
      <c r="D15" s="358">
        <v>415125</v>
      </c>
      <c r="E15" s="365">
        <v>157058</v>
      </c>
      <c r="F15" s="360">
        <f>E15/D15*100</f>
        <v>37.833905450165609</v>
      </c>
    </row>
    <row r="16" spans="1:6" x14ac:dyDescent="0.25">
      <c r="A16" s="29"/>
      <c r="B16" s="29"/>
      <c r="C16" s="23"/>
      <c r="D16" s="23"/>
      <c r="E16" s="23"/>
      <c r="F16" s="23"/>
    </row>
    <row r="17" spans="1:6" x14ac:dyDescent="0.25">
      <c r="A17" s="29"/>
      <c r="B17" s="29"/>
      <c r="C17" s="23"/>
      <c r="D17" s="23"/>
      <c r="E17" s="23"/>
      <c r="F17" s="23"/>
    </row>
    <row r="18" spans="1:6" x14ac:dyDescent="0.25">
      <c r="A18" s="23"/>
      <c r="B18" s="23"/>
      <c r="C18" s="23"/>
      <c r="D18" s="23"/>
      <c r="E18" s="23"/>
      <c r="F18" s="23"/>
    </row>
    <row r="19" spans="1:6" x14ac:dyDescent="0.25">
      <c r="A19" s="363" t="s">
        <v>1138</v>
      </c>
      <c r="B19" s="364" t="s">
        <v>307</v>
      </c>
      <c r="C19" s="364" t="s">
        <v>1139</v>
      </c>
      <c r="D19" s="358">
        <v>10763261</v>
      </c>
      <c r="E19" s="365">
        <v>3369159</v>
      </c>
      <c r="F19" s="360">
        <f>E19/D19*100</f>
        <v>31.302399895347705</v>
      </c>
    </row>
    <row r="20" spans="1:6" x14ac:dyDescent="0.25">
      <c r="A20" s="29"/>
      <c r="B20" s="29"/>
      <c r="C20" s="23"/>
      <c r="D20" s="23"/>
      <c r="E20" s="23"/>
      <c r="F20" s="23"/>
    </row>
    <row r="21" spans="1:6" ht="12.75" customHeight="1" x14ac:dyDescent="0.25">
      <c r="A21" s="23"/>
      <c r="B21" s="23"/>
      <c r="C21" s="23"/>
      <c r="D21" s="23"/>
      <c r="E21" s="23"/>
      <c r="F21" s="23"/>
    </row>
    <row r="22" spans="1:6" hidden="1" x14ac:dyDescent="0.25">
      <c r="A22" s="366"/>
      <c r="B22" s="29"/>
      <c r="C22" s="23"/>
      <c r="D22" s="23"/>
      <c r="E22" s="23"/>
      <c r="F22" s="23"/>
    </row>
    <row r="23" spans="1:6" ht="31.5" customHeight="1" x14ac:dyDescent="0.25">
      <c r="A23" s="363" t="s">
        <v>1140</v>
      </c>
      <c r="B23" s="367" t="s">
        <v>1141</v>
      </c>
      <c r="C23" s="364" t="s">
        <v>1133</v>
      </c>
      <c r="D23" s="358">
        <v>11615940</v>
      </c>
      <c r="E23" s="365">
        <v>4478953</v>
      </c>
      <c r="F23" s="368">
        <f>E23/D23*100</f>
        <v>38.558678849925187</v>
      </c>
    </row>
    <row r="24" spans="1:6" x14ac:dyDescent="0.25">
      <c r="A24" s="29"/>
      <c r="B24" s="29"/>
      <c r="C24" s="23"/>
      <c r="D24" s="23"/>
      <c r="E24" s="23"/>
      <c r="F24" s="23"/>
    </row>
    <row r="25" spans="1:6" x14ac:dyDescent="0.25">
      <c r="A25" s="29"/>
      <c r="B25" s="29"/>
      <c r="C25" s="23"/>
      <c r="D25" s="23"/>
      <c r="E25" s="23"/>
      <c r="F25" s="23"/>
    </row>
    <row r="26" spans="1:6" x14ac:dyDescent="0.25">
      <c r="A26" s="356" t="s">
        <v>1142</v>
      </c>
      <c r="B26" s="357" t="s">
        <v>240</v>
      </c>
      <c r="C26" s="364" t="s">
        <v>1143</v>
      </c>
      <c r="D26" s="358">
        <v>13136818</v>
      </c>
      <c r="E26" s="365">
        <v>4884590</v>
      </c>
      <c r="F26" s="360">
        <f>E26/D26*100</f>
        <v>37.182444028683356</v>
      </c>
    </row>
    <row r="27" spans="1:6" x14ac:dyDescent="0.25">
      <c r="A27" s="361"/>
      <c r="B27" s="361"/>
      <c r="C27" s="23"/>
      <c r="D27" s="23"/>
      <c r="E27" s="23"/>
      <c r="F27" s="23"/>
    </row>
    <row r="28" spans="1:6" x14ac:dyDescent="0.25">
      <c r="A28" s="29"/>
      <c r="B28" s="29"/>
      <c r="C28" s="23"/>
      <c r="D28" s="23"/>
      <c r="E28" s="23"/>
      <c r="F28" s="23"/>
    </row>
    <row r="29" spans="1:6" x14ac:dyDescent="0.25">
      <c r="A29" s="29"/>
      <c r="B29" s="29"/>
      <c r="C29" s="23"/>
      <c r="D29" s="23"/>
      <c r="E29" s="23"/>
      <c r="F29" s="23"/>
    </row>
    <row r="30" spans="1:6" x14ac:dyDescent="0.25">
      <c r="A30" s="363" t="s">
        <v>1144</v>
      </c>
      <c r="B30" s="364" t="s">
        <v>1145</v>
      </c>
      <c r="C30" s="364" t="s">
        <v>1133</v>
      </c>
      <c r="D30" s="358">
        <v>418416</v>
      </c>
      <c r="E30" s="358">
        <v>0</v>
      </c>
      <c r="F30" s="360">
        <f>E30/D30*100</f>
        <v>0</v>
      </c>
    </row>
    <row r="31" spans="1:6" x14ac:dyDescent="0.25">
      <c r="A31" s="29" t="s">
        <v>1146</v>
      </c>
      <c r="B31" s="29"/>
      <c r="C31" s="23"/>
      <c r="D31" s="23"/>
      <c r="E31" s="23"/>
      <c r="F31" s="23"/>
    </row>
    <row r="32" spans="1:6" x14ac:dyDescent="0.25">
      <c r="A32" s="29"/>
      <c r="B32" s="29"/>
      <c r="C32" s="23"/>
      <c r="D32" s="23"/>
      <c r="E32" s="23"/>
      <c r="F32" s="23"/>
    </row>
    <row r="33" spans="1:6" x14ac:dyDescent="0.25">
      <c r="A33" s="29"/>
      <c r="B33" s="29"/>
      <c r="C33" s="23"/>
      <c r="D33" s="23"/>
      <c r="E33" s="23"/>
      <c r="F33" s="23"/>
    </row>
    <row r="34" spans="1:6" x14ac:dyDescent="0.25">
      <c r="A34" s="363" t="s">
        <v>1147</v>
      </c>
      <c r="B34" s="364" t="s">
        <v>1148</v>
      </c>
      <c r="C34" s="364" t="s">
        <v>1139</v>
      </c>
      <c r="D34" s="358">
        <v>573596</v>
      </c>
      <c r="E34" s="365">
        <v>252905</v>
      </c>
      <c r="F34" s="360">
        <f>E34/D34*100</f>
        <v>44.091137316159809</v>
      </c>
    </row>
    <row r="35" spans="1:6" x14ac:dyDescent="0.25">
      <c r="A35" s="23"/>
      <c r="B35" s="23"/>
      <c r="C35" s="23"/>
      <c r="D35" s="23"/>
      <c r="E35" s="369"/>
      <c r="F35" s="29"/>
    </row>
    <row r="36" spans="1:6" x14ac:dyDescent="0.25">
      <c r="A36" s="363" t="s">
        <v>1149</v>
      </c>
      <c r="B36" s="364" t="s">
        <v>220</v>
      </c>
      <c r="C36" s="364" t="s">
        <v>1133</v>
      </c>
      <c r="D36" s="358">
        <v>8905577</v>
      </c>
      <c r="E36" s="365">
        <v>2920600</v>
      </c>
      <c r="F36" s="360">
        <f>E36/D36*100</f>
        <v>32.795179919279796</v>
      </c>
    </row>
    <row r="37" spans="1:6" x14ac:dyDescent="0.25">
      <c r="A37" s="370"/>
      <c r="B37" s="29"/>
      <c r="C37" s="23"/>
      <c r="D37" s="23"/>
      <c r="E37" s="23"/>
      <c r="F37" s="23"/>
    </row>
    <row r="38" spans="1:6" x14ac:dyDescent="0.25">
      <c r="A38" s="23"/>
      <c r="B38" s="23"/>
      <c r="C38" s="23"/>
      <c r="D38" s="23"/>
      <c r="E38" s="23"/>
      <c r="F38" s="23"/>
    </row>
    <row r="39" spans="1:6" x14ac:dyDescent="0.25">
      <c r="A39" s="363" t="s">
        <v>1150</v>
      </c>
      <c r="B39" s="364" t="s">
        <v>1151</v>
      </c>
      <c r="C39" s="364" t="s">
        <v>1133</v>
      </c>
      <c r="D39" s="358">
        <v>604481</v>
      </c>
      <c r="E39" s="365">
        <v>241608</v>
      </c>
      <c r="F39" s="360">
        <f>E39/D39*100</f>
        <v>39.969494491969144</v>
      </c>
    </row>
    <row r="40" spans="1:6" x14ac:dyDescent="0.25">
      <c r="A40" s="29"/>
      <c r="B40" s="29"/>
      <c r="C40" s="23"/>
      <c r="D40" s="23"/>
      <c r="E40" s="23"/>
      <c r="F40" s="23"/>
    </row>
    <row r="41" spans="1:6" x14ac:dyDescent="0.25">
      <c r="A41" s="23"/>
      <c r="B41" s="23"/>
      <c r="C41" s="23"/>
      <c r="D41" s="23"/>
      <c r="E41" s="23"/>
      <c r="F41" s="23"/>
    </row>
    <row r="42" spans="1:6" ht="35.25" customHeight="1" x14ac:dyDescent="0.25">
      <c r="A42" s="363" t="s">
        <v>1152</v>
      </c>
      <c r="B42" s="367" t="s">
        <v>1153</v>
      </c>
      <c r="C42" s="364" t="s">
        <v>1133</v>
      </c>
      <c r="D42" s="358">
        <v>335491</v>
      </c>
      <c r="E42" s="365">
        <v>134653</v>
      </c>
      <c r="F42" s="360">
        <f>E42/D42*100</f>
        <v>40.136099030972517</v>
      </c>
    </row>
    <row r="43" spans="1:6" x14ac:dyDescent="0.25">
      <c r="A43" s="328"/>
      <c r="B43" s="29"/>
      <c r="C43" s="29"/>
      <c r="D43" s="23"/>
      <c r="E43" s="369"/>
      <c r="F43" s="29"/>
    </row>
    <row r="44" spans="1:6" x14ac:dyDescent="0.25">
      <c r="A44" s="29"/>
      <c r="B44" s="29"/>
      <c r="C44" s="29"/>
      <c r="D44" s="23"/>
      <c r="E44" s="369"/>
      <c r="F44" s="29"/>
    </row>
    <row r="45" spans="1:6" x14ac:dyDescent="0.25">
      <c r="A45" s="363" t="s">
        <v>1154</v>
      </c>
      <c r="B45" s="364" t="s">
        <v>1155</v>
      </c>
      <c r="C45" s="364" t="s">
        <v>1156</v>
      </c>
      <c r="D45" s="358">
        <v>3697677</v>
      </c>
      <c r="E45" s="365">
        <v>946113</v>
      </c>
      <c r="F45" s="360">
        <f>E45/D45*100</f>
        <v>25.586685911181533</v>
      </c>
    </row>
    <row r="46" spans="1:6" x14ac:dyDescent="0.25">
      <c r="A46" s="29"/>
      <c r="B46" s="29"/>
      <c r="C46" s="23"/>
      <c r="D46" s="371"/>
      <c r="E46" s="23"/>
      <c r="F46" s="23"/>
    </row>
    <row r="47" spans="1:6" x14ac:dyDescent="0.25">
      <c r="A47" s="29"/>
      <c r="B47" s="29"/>
      <c r="C47" s="23"/>
      <c r="D47" s="23"/>
      <c r="E47" s="23"/>
      <c r="F47" s="23"/>
    </row>
    <row r="48" spans="1:6" x14ac:dyDescent="0.25">
      <c r="A48" s="29"/>
      <c r="B48" s="29"/>
      <c r="C48" s="23"/>
      <c r="D48" s="23"/>
      <c r="E48" s="23"/>
      <c r="F48" s="23"/>
    </row>
    <row r="49" spans="1:6" x14ac:dyDescent="0.25">
      <c r="A49" s="363" t="s">
        <v>1157</v>
      </c>
      <c r="B49" s="364" t="s">
        <v>1158</v>
      </c>
      <c r="C49" s="364" t="s">
        <v>1156</v>
      </c>
      <c r="D49" s="354">
        <v>34011145</v>
      </c>
      <c r="E49" s="365">
        <v>13674639</v>
      </c>
      <c r="F49" s="360">
        <f>E49/D49*100</f>
        <v>40.206347066527755</v>
      </c>
    </row>
    <row r="50" spans="1:6" x14ac:dyDescent="0.25">
      <c r="A50" s="366"/>
      <c r="B50" s="29"/>
      <c r="C50" s="29"/>
      <c r="D50" s="23"/>
      <c r="E50" s="369"/>
      <c r="F50" s="372"/>
    </row>
    <row r="51" spans="1:6" ht="30" x14ac:dyDescent="0.25">
      <c r="A51" s="363" t="s">
        <v>1159</v>
      </c>
      <c r="B51" s="367" t="s">
        <v>1160</v>
      </c>
      <c r="C51" s="364" t="s">
        <v>1161</v>
      </c>
      <c r="D51" s="358">
        <v>11365671</v>
      </c>
      <c r="E51" s="365">
        <v>5100737</v>
      </c>
      <c r="F51" s="360">
        <f>E51/D51*100</f>
        <v>44.878450203248008</v>
      </c>
    </row>
    <row r="52" spans="1:6" x14ac:dyDescent="0.25">
      <c r="A52" s="366"/>
      <c r="B52" s="29"/>
      <c r="C52" s="29"/>
      <c r="D52" s="23"/>
      <c r="E52" s="369"/>
      <c r="F52" s="372"/>
    </row>
    <row r="53" spans="1:6" x14ac:dyDescent="0.25">
      <c r="A53" s="363" t="s">
        <v>1162</v>
      </c>
      <c r="B53" s="364" t="s">
        <v>1163</v>
      </c>
      <c r="C53" s="364" t="s">
        <v>1133</v>
      </c>
      <c r="D53" s="358">
        <v>5447043</v>
      </c>
      <c r="E53" s="365">
        <v>1820069</v>
      </c>
      <c r="F53" s="360">
        <f>E53/D53*100</f>
        <v>33.413890802771341</v>
      </c>
    </row>
    <row r="54" spans="1:6" x14ac:dyDescent="0.25">
      <c r="A54" s="328"/>
      <c r="B54" s="29"/>
      <c r="C54" s="29"/>
      <c r="D54" s="23"/>
      <c r="E54" s="369"/>
      <c r="F54" s="29"/>
    </row>
    <row r="55" spans="1:6" x14ac:dyDescent="0.25">
      <c r="A55" s="356" t="s">
        <v>1164</v>
      </c>
      <c r="B55" s="357" t="s">
        <v>1165</v>
      </c>
      <c r="C55" s="357" t="s">
        <v>1143</v>
      </c>
      <c r="D55" s="354">
        <v>0</v>
      </c>
      <c r="E55" s="373">
        <v>0</v>
      </c>
      <c r="F55" s="360">
        <v>0</v>
      </c>
    </row>
    <row r="56" spans="1:6" x14ac:dyDescent="0.25">
      <c r="A56" s="361"/>
      <c r="B56" s="361"/>
      <c r="C56" s="361"/>
      <c r="D56" s="23"/>
      <c r="E56" s="362"/>
      <c r="F56" s="361"/>
    </row>
    <row r="57" spans="1:6" x14ac:dyDescent="0.25">
      <c r="A57" s="363" t="s">
        <v>1166</v>
      </c>
      <c r="B57" s="364" t="s">
        <v>1167</v>
      </c>
      <c r="C57" s="364" t="s">
        <v>1156</v>
      </c>
      <c r="D57" s="358">
        <v>5474789</v>
      </c>
      <c r="E57" s="365">
        <v>2039276</v>
      </c>
      <c r="F57" s="360">
        <f>E57/D57*100</f>
        <v>37.248485740729002</v>
      </c>
    </row>
    <row r="58" spans="1:6" x14ac:dyDescent="0.25">
      <c r="A58" s="29"/>
      <c r="B58" s="29"/>
      <c r="C58" s="29"/>
      <c r="D58" s="23"/>
      <c r="E58" s="369"/>
      <c r="F58" s="29"/>
    </row>
    <row r="59" spans="1:6" x14ac:dyDescent="0.25">
      <c r="A59" s="363" t="s">
        <v>1168</v>
      </c>
      <c r="B59" s="364" t="s">
        <v>1169</v>
      </c>
      <c r="C59" s="364" t="s">
        <v>1170</v>
      </c>
      <c r="D59" s="354">
        <v>7277528</v>
      </c>
      <c r="E59" s="365">
        <v>3180593</v>
      </c>
      <c r="F59" s="360">
        <f>E59/D59*100</f>
        <v>43.704304538574085</v>
      </c>
    </row>
    <row r="60" spans="1:6" x14ac:dyDescent="0.25">
      <c r="A60" s="29"/>
      <c r="B60" s="29"/>
      <c r="C60" s="29"/>
      <c r="D60" s="23"/>
      <c r="E60" s="369"/>
      <c r="F60" s="29"/>
    </row>
    <row r="61" spans="1:6" ht="30" x14ac:dyDescent="0.25">
      <c r="A61" s="363" t="s">
        <v>1171</v>
      </c>
      <c r="B61" s="367" t="s">
        <v>1172</v>
      </c>
      <c r="C61" s="364" t="s">
        <v>1173</v>
      </c>
      <c r="D61" s="354">
        <v>18832010</v>
      </c>
      <c r="E61" s="365">
        <v>7700473</v>
      </c>
      <c r="F61" s="360">
        <f>E61/D61*100</f>
        <v>40.890340436310304</v>
      </c>
    </row>
    <row r="62" spans="1:6" x14ac:dyDescent="0.25">
      <c r="A62" s="366"/>
      <c r="B62" s="29"/>
      <c r="C62" s="29"/>
      <c r="D62" s="23"/>
      <c r="E62" s="369"/>
      <c r="F62" s="372"/>
    </row>
    <row r="63" spans="1:6" x14ac:dyDescent="0.25">
      <c r="A63" s="356" t="s">
        <v>1174</v>
      </c>
      <c r="B63" s="357" t="s">
        <v>82</v>
      </c>
      <c r="C63" s="357" t="s">
        <v>1143</v>
      </c>
      <c r="D63" s="354">
        <v>496908</v>
      </c>
      <c r="E63" s="359">
        <v>164826</v>
      </c>
      <c r="F63" s="360">
        <f>E63/D63*100</f>
        <v>33.170325291603277</v>
      </c>
    </row>
    <row r="64" spans="1:6" x14ac:dyDescent="0.25">
      <c r="A64" s="361"/>
      <c r="B64" s="361"/>
      <c r="C64" s="361"/>
      <c r="D64" s="23"/>
      <c r="E64" s="362"/>
      <c r="F64" s="361"/>
    </row>
    <row r="65" spans="1:6" x14ac:dyDescent="0.25">
      <c r="A65" s="29"/>
      <c r="B65" s="29"/>
      <c r="C65" s="29"/>
      <c r="D65" s="23"/>
      <c r="E65" s="369"/>
      <c r="F65" s="29"/>
    </row>
    <row r="66" spans="1:6" x14ac:dyDescent="0.25">
      <c r="A66" s="363" t="s">
        <v>1175</v>
      </c>
      <c r="B66" s="364" t="s">
        <v>50</v>
      </c>
      <c r="C66" s="364" t="s">
        <v>1143</v>
      </c>
      <c r="D66" s="358">
        <v>9548214</v>
      </c>
      <c r="E66" s="365">
        <v>3463642</v>
      </c>
      <c r="F66" s="360">
        <f>E66/D66*100</f>
        <v>36.27528666617652</v>
      </c>
    </row>
    <row r="67" spans="1:6" x14ac:dyDescent="0.25">
      <c r="A67" s="366"/>
      <c r="B67" s="29"/>
      <c r="C67" s="29"/>
      <c r="D67" s="23"/>
      <c r="E67" s="369"/>
      <c r="F67" s="372"/>
    </row>
    <row r="68" spans="1:6" x14ac:dyDescent="0.25">
      <c r="A68" s="29"/>
      <c r="B68" s="29"/>
      <c r="C68" s="29"/>
      <c r="D68" s="23"/>
      <c r="E68" s="369"/>
      <c r="F68" s="29"/>
    </row>
    <row r="69" spans="1:6" x14ac:dyDescent="0.25">
      <c r="A69" s="363" t="s">
        <v>1176</v>
      </c>
      <c r="B69" s="357" t="s">
        <v>1177</v>
      </c>
      <c r="C69" s="357" t="s">
        <v>1143</v>
      </c>
      <c r="D69" s="358">
        <v>984836</v>
      </c>
      <c r="E69" s="359">
        <v>421317</v>
      </c>
      <c r="F69" s="360">
        <f>E69/D69*100</f>
        <v>42.780422324123002</v>
      </c>
    </row>
    <row r="70" spans="1:6" x14ac:dyDescent="0.25">
      <c r="A70" s="29"/>
      <c r="B70" s="361"/>
      <c r="C70" s="361"/>
      <c r="D70" s="23"/>
      <c r="E70" s="362"/>
      <c r="F70" s="361"/>
    </row>
    <row r="71" spans="1:6" x14ac:dyDescent="0.25">
      <c r="A71" s="29"/>
      <c r="B71" s="29"/>
      <c r="C71" s="29"/>
      <c r="D71" s="354"/>
      <c r="E71" s="369"/>
      <c r="F71" s="29"/>
    </row>
    <row r="72" spans="1:6" x14ac:dyDescent="0.25">
      <c r="A72" s="363" t="s">
        <v>1178</v>
      </c>
      <c r="B72" s="364" t="s">
        <v>1179</v>
      </c>
      <c r="C72" s="364" t="s">
        <v>1180</v>
      </c>
      <c r="D72" s="354">
        <v>0</v>
      </c>
      <c r="E72" s="358">
        <v>0</v>
      </c>
      <c r="F72" s="360">
        <v>0</v>
      </c>
    </row>
    <row r="73" spans="1:6" x14ac:dyDescent="0.25">
      <c r="A73" s="366"/>
      <c r="B73" s="29"/>
      <c r="C73" s="29"/>
      <c r="D73" s="23"/>
      <c r="E73" s="369"/>
      <c r="F73" s="372"/>
    </row>
    <row r="74" spans="1:6" x14ac:dyDescent="0.25">
      <c r="A74" s="363" t="s">
        <v>1181</v>
      </c>
      <c r="B74" s="364" t="s">
        <v>1182</v>
      </c>
      <c r="C74" s="364" t="s">
        <v>1180</v>
      </c>
      <c r="D74" s="358">
        <v>18293314</v>
      </c>
      <c r="E74" s="365">
        <v>6554001</v>
      </c>
      <c r="F74" s="360">
        <f>E74/D74*100</f>
        <v>35.827302805822939</v>
      </c>
    </row>
    <row r="75" spans="1:6" x14ac:dyDescent="0.25">
      <c r="A75" s="328"/>
      <c r="B75" s="29"/>
      <c r="C75" s="29"/>
      <c r="D75" s="23"/>
      <c r="E75" s="369"/>
      <c r="F75" s="29"/>
    </row>
    <row r="76" spans="1:6" x14ac:dyDescent="0.25">
      <c r="A76" s="363" t="s">
        <v>1183</v>
      </c>
      <c r="B76" s="364" t="s">
        <v>1184</v>
      </c>
      <c r="C76" s="364" t="s">
        <v>1180</v>
      </c>
      <c r="D76" s="354">
        <v>0</v>
      </c>
      <c r="E76" s="358">
        <v>0</v>
      </c>
      <c r="F76" s="360">
        <v>0</v>
      </c>
    </row>
    <row r="77" spans="1:6" x14ac:dyDescent="0.25">
      <c r="A77" s="328"/>
      <c r="B77" s="29"/>
      <c r="C77" s="29"/>
      <c r="D77" s="23"/>
      <c r="E77" s="369"/>
      <c r="F77" s="29"/>
    </row>
    <row r="78" spans="1:6" x14ac:dyDescent="0.25">
      <c r="A78" s="353"/>
      <c r="B78" s="353" t="s">
        <v>1185</v>
      </c>
      <c r="C78" s="353"/>
      <c r="D78" s="374">
        <f>SUM(D7:D77)</f>
        <v>164150748</v>
      </c>
      <c r="E78" s="374">
        <f>SUM(E6:E77)</f>
        <v>62354019</v>
      </c>
      <c r="F78" s="360">
        <f>E78/D78*100</f>
        <v>37.985826905887755</v>
      </c>
    </row>
    <row r="79" spans="1:6" x14ac:dyDescent="0.25">
      <c r="A79" s="23"/>
      <c r="B79" s="23"/>
      <c r="C79" s="23"/>
      <c r="D79" s="23"/>
      <c r="E79" s="23"/>
      <c r="F79" s="23"/>
    </row>
    <row r="80" spans="1:6" x14ac:dyDescent="0.25">
      <c r="A80" s="352" t="s">
        <v>1186</v>
      </c>
      <c r="B80" s="352"/>
      <c r="C80" s="23"/>
      <c r="D80" s="23"/>
      <c r="E80" s="23"/>
      <c r="F80" s="23"/>
    </row>
    <row r="81" spans="1:6" x14ac:dyDescent="0.25">
      <c r="A81" s="375"/>
      <c r="B81" s="364" t="s">
        <v>1128</v>
      </c>
      <c r="C81" s="364" t="s">
        <v>1187</v>
      </c>
      <c r="D81" s="376" t="s">
        <v>1130</v>
      </c>
      <c r="E81" s="23"/>
      <c r="F81" s="23"/>
    </row>
    <row r="82" spans="1:6" x14ac:dyDescent="0.25">
      <c r="A82" s="364"/>
      <c r="B82" s="377">
        <v>165975472</v>
      </c>
      <c r="C82" s="378">
        <f>'Capital Projects'!D208+'Capital Projects'!D211</f>
        <v>50121768</v>
      </c>
      <c r="D82" s="379">
        <f>C82/B82*100</f>
        <v>30.198298216015917</v>
      </c>
      <c r="E82" s="23"/>
      <c r="F82" s="23"/>
    </row>
    <row r="83" spans="1:6" x14ac:dyDescent="0.25">
      <c r="A83" s="23"/>
      <c r="B83" s="23"/>
      <c r="C83" s="23"/>
      <c r="D83" s="23"/>
      <c r="E83" s="23"/>
      <c r="F83" s="23"/>
    </row>
    <row r="84" spans="1:6" x14ac:dyDescent="0.25">
      <c r="A84" s="352" t="s">
        <v>1188</v>
      </c>
      <c r="B84" s="23"/>
      <c r="C84" s="23"/>
      <c r="D84" s="23"/>
      <c r="E84" s="23"/>
      <c r="F84" s="23"/>
    </row>
    <row r="85" spans="1:6" x14ac:dyDescent="0.25">
      <c r="A85" s="375"/>
      <c r="B85" s="364" t="s">
        <v>1128</v>
      </c>
      <c r="C85" s="364" t="s">
        <v>1187</v>
      </c>
      <c r="D85" s="376" t="s">
        <v>1130</v>
      </c>
      <c r="E85" s="23"/>
      <c r="F85" s="23"/>
    </row>
    <row r="86" spans="1:6" x14ac:dyDescent="0.25">
      <c r="A86" s="364"/>
      <c r="B86" s="380">
        <f>D78</f>
        <v>164150748</v>
      </c>
      <c r="C86" s="381">
        <f>E78</f>
        <v>62354019</v>
      </c>
      <c r="D86" s="379">
        <f>C86/B86*100</f>
        <v>37.985826905887755</v>
      </c>
      <c r="E86" s="23"/>
      <c r="F86" s="23"/>
    </row>
    <row r="87" spans="1:6" x14ac:dyDescent="0.25">
      <c r="A87" s="23"/>
      <c r="B87" s="23"/>
      <c r="C87" s="23"/>
      <c r="D87" s="23"/>
      <c r="E87" s="23"/>
      <c r="F87" s="23"/>
    </row>
    <row r="88" spans="1:6" x14ac:dyDescent="0.25">
      <c r="A88" s="352" t="s">
        <v>1189</v>
      </c>
      <c r="B88" s="352"/>
      <c r="C88" s="23"/>
      <c r="D88" s="23"/>
      <c r="E88" s="23"/>
      <c r="F88" s="23"/>
    </row>
    <row r="89" spans="1:6" x14ac:dyDescent="0.25">
      <c r="A89" s="375"/>
      <c r="B89" s="364" t="s">
        <v>1128</v>
      </c>
      <c r="C89" s="364" t="s">
        <v>1187</v>
      </c>
      <c r="D89" s="376" t="s">
        <v>1130</v>
      </c>
      <c r="E89" s="23"/>
      <c r="F89" s="23"/>
    </row>
    <row r="90" spans="1:6" x14ac:dyDescent="0.25">
      <c r="A90" s="364"/>
      <c r="B90" s="377">
        <f>B82+B86</f>
        <v>330126220</v>
      </c>
      <c r="C90" s="378">
        <f>C82+C86</f>
        <v>112475787</v>
      </c>
      <c r="D90" s="379">
        <f>C90/B90*100</f>
        <v>34.070540352717209</v>
      </c>
      <c r="E90" s="23"/>
      <c r="F90" s="23"/>
    </row>
    <row r="91" spans="1:6" x14ac:dyDescent="0.25">
      <c r="A91" s="23"/>
      <c r="B91" s="23"/>
      <c r="C91" s="23"/>
      <c r="D91" s="23"/>
      <c r="E91" s="23"/>
      <c r="F91" s="23"/>
    </row>
  </sheetData>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38" workbookViewId="0">
      <selection activeCell="F52" sqref="F52"/>
    </sheetView>
  </sheetViews>
  <sheetFormatPr defaultRowHeight="15" x14ac:dyDescent="0.25"/>
  <cols>
    <col min="1" max="1" width="34.42578125" customWidth="1"/>
    <col min="2" max="2" width="16.140625" customWidth="1"/>
    <col min="3" max="3" width="19" customWidth="1"/>
    <col min="4" max="4" width="18.140625" customWidth="1"/>
  </cols>
  <sheetData>
    <row r="1" spans="1:6" ht="18.75" x14ac:dyDescent="0.3">
      <c r="A1" s="382" t="s">
        <v>1190</v>
      </c>
      <c r="B1" s="23"/>
      <c r="C1" s="23"/>
      <c r="D1" s="23"/>
      <c r="E1" s="383"/>
      <c r="F1" s="23"/>
    </row>
    <row r="2" spans="1:6" x14ac:dyDescent="0.25">
      <c r="A2" s="23"/>
      <c r="B2" s="23"/>
      <c r="C2" s="23"/>
      <c r="D2" s="23"/>
      <c r="E2" s="383"/>
      <c r="F2" s="23"/>
    </row>
    <row r="3" spans="1:6" ht="15.75" x14ac:dyDescent="0.25">
      <c r="A3" s="384" t="s">
        <v>1191</v>
      </c>
      <c r="B3" s="23"/>
      <c r="C3" s="23"/>
      <c r="D3" s="383"/>
      <c r="E3" s="383"/>
      <c r="F3" s="23"/>
    </row>
    <row r="4" spans="1:6" x14ac:dyDescent="0.25">
      <c r="A4" s="23"/>
      <c r="B4" s="23"/>
      <c r="C4" s="23"/>
      <c r="D4" s="383"/>
      <c r="E4" s="383"/>
      <c r="F4" s="23"/>
    </row>
    <row r="5" spans="1:6" x14ac:dyDescent="0.25">
      <c r="A5" s="23" t="s">
        <v>1192</v>
      </c>
      <c r="B5" s="23"/>
      <c r="C5" s="23"/>
      <c r="D5" s="383"/>
      <c r="E5" s="383"/>
      <c r="F5" s="23"/>
    </row>
    <row r="6" spans="1:6" x14ac:dyDescent="0.25">
      <c r="A6" s="353" t="s">
        <v>1193</v>
      </c>
      <c r="B6" s="355" t="s">
        <v>1128</v>
      </c>
      <c r="C6" s="355" t="s">
        <v>1194</v>
      </c>
      <c r="D6" s="385" t="s">
        <v>1195</v>
      </c>
      <c r="E6" s="386" t="s">
        <v>1130</v>
      </c>
      <c r="F6" s="23"/>
    </row>
    <row r="7" spans="1:6" x14ac:dyDescent="0.25">
      <c r="A7" s="364" t="s">
        <v>1196</v>
      </c>
      <c r="B7" s="365">
        <v>6355008</v>
      </c>
      <c r="C7" s="365">
        <f>753068+735810+710216+735973+679489+813106</f>
        <v>4427662</v>
      </c>
      <c r="D7" s="365">
        <f>828721+533135+309903+391997+292979+1193504</f>
        <v>3550239</v>
      </c>
      <c r="E7" s="383">
        <f>C7/B7*100</f>
        <v>69.672013001399847</v>
      </c>
      <c r="F7" s="23"/>
    </row>
    <row r="8" spans="1:6" x14ac:dyDescent="0.25">
      <c r="A8" s="364" t="s">
        <v>1197</v>
      </c>
      <c r="B8" s="387">
        <v>171845000</v>
      </c>
      <c r="C8" s="365"/>
      <c r="D8" s="365">
        <f>66337000+1600000+692000+934000</f>
        <v>69563000</v>
      </c>
      <c r="E8" s="383">
        <f>D8/B8*100</f>
        <v>40.480083796444468</v>
      </c>
      <c r="F8" s="23"/>
    </row>
    <row r="9" spans="1:6" x14ac:dyDescent="0.25">
      <c r="A9" s="364" t="s">
        <v>1182</v>
      </c>
      <c r="B9" s="387">
        <v>15906477</v>
      </c>
      <c r="C9" s="365">
        <f>1155743+1233612+1132508+1191319+975252+819702</f>
        <v>6508136</v>
      </c>
      <c r="D9" s="365">
        <f>668193+788063+663816+702321+310967+866515</f>
        <v>3999875</v>
      </c>
      <c r="E9" s="383">
        <f>C9/B9*100</f>
        <v>40.915005880937684</v>
      </c>
      <c r="F9" s="23"/>
    </row>
    <row r="10" spans="1:6" x14ac:dyDescent="0.25">
      <c r="A10" s="364" t="s">
        <v>1163</v>
      </c>
      <c r="B10" s="387">
        <v>4092948</v>
      </c>
      <c r="C10" s="365">
        <f>299935+296628+301349+297896+294680+293290</f>
        <v>1783778</v>
      </c>
      <c r="D10" s="365">
        <f>98571+144774+113290+95717+53656+110017</f>
        <v>616025</v>
      </c>
      <c r="E10" s="383">
        <f>C10/B10*100</f>
        <v>43.581741082466721</v>
      </c>
      <c r="F10" s="23"/>
    </row>
    <row r="11" spans="1:6" x14ac:dyDescent="0.25">
      <c r="A11" s="364" t="s">
        <v>1198</v>
      </c>
      <c r="B11" s="387">
        <v>336654</v>
      </c>
      <c r="C11" s="365"/>
      <c r="D11" s="365">
        <v>47330</v>
      </c>
      <c r="E11" s="383">
        <f t="shared" ref="E11:E19" si="0">D11/B11*100</f>
        <v>14.058944791982272</v>
      </c>
      <c r="F11" s="23"/>
    </row>
    <row r="12" spans="1:6" x14ac:dyDescent="0.25">
      <c r="A12" s="364" t="s">
        <v>1199</v>
      </c>
      <c r="B12" s="387">
        <v>1738494</v>
      </c>
      <c r="C12" s="365"/>
      <c r="D12" s="365">
        <v>893595</v>
      </c>
      <c r="E12" s="383">
        <f t="shared" si="0"/>
        <v>51.400522521216644</v>
      </c>
      <c r="F12" s="23"/>
    </row>
    <row r="13" spans="1:6" x14ac:dyDescent="0.25">
      <c r="A13" s="364" t="s">
        <v>1200</v>
      </c>
      <c r="B13" s="387">
        <v>5607360</v>
      </c>
      <c r="C13" s="365"/>
      <c r="D13" s="365">
        <v>1329592</v>
      </c>
      <c r="E13" s="383">
        <f t="shared" si="0"/>
        <v>23.711550533584433</v>
      </c>
      <c r="F13" s="23"/>
    </row>
    <row r="14" spans="1:6" x14ac:dyDescent="0.25">
      <c r="A14" s="364" t="s">
        <v>1201</v>
      </c>
      <c r="B14" s="387">
        <v>5607360</v>
      </c>
      <c r="C14" s="365"/>
      <c r="D14" s="365">
        <f>5382765-558285-1184644</f>
        <v>3639836</v>
      </c>
      <c r="E14" s="383">
        <f t="shared" si="0"/>
        <v>64.911758831250353</v>
      </c>
      <c r="F14" s="23"/>
    </row>
    <row r="15" spans="1:6" x14ac:dyDescent="0.25">
      <c r="A15" s="364" t="s">
        <v>1202</v>
      </c>
      <c r="B15" s="387">
        <v>3610800</v>
      </c>
      <c r="C15" s="365"/>
      <c r="D15" s="365">
        <v>1432724</v>
      </c>
      <c r="E15" s="383">
        <f t="shared" si="0"/>
        <v>39.678852331893211</v>
      </c>
      <c r="F15" s="23"/>
    </row>
    <row r="16" spans="1:6" x14ac:dyDescent="0.25">
      <c r="A16" s="364" t="s">
        <v>1203</v>
      </c>
      <c r="B16" s="387">
        <v>-6010920</v>
      </c>
      <c r="C16" s="365"/>
      <c r="D16" s="365">
        <v>-158</v>
      </c>
      <c r="E16" s="383">
        <f t="shared" si="0"/>
        <v>2.6285493734736114E-3</v>
      </c>
      <c r="F16" s="23"/>
    </row>
    <row r="17" spans="1:6" x14ac:dyDescent="0.25">
      <c r="A17" s="364" t="s">
        <v>1204</v>
      </c>
      <c r="B17" s="387">
        <v>2377818</v>
      </c>
      <c r="C17" s="365"/>
      <c r="D17" s="365">
        <v>1377217</v>
      </c>
      <c r="E17" s="383">
        <f t="shared" si="0"/>
        <v>57.919361364074121</v>
      </c>
      <c r="F17" s="23"/>
    </row>
    <row r="18" spans="1:6" x14ac:dyDescent="0.25">
      <c r="A18" s="364" t="s">
        <v>1205</v>
      </c>
      <c r="B18" s="387">
        <v>20329220</v>
      </c>
      <c r="C18" s="365"/>
      <c r="D18" s="365">
        <f>411178+85199+39658+42377</f>
        <v>578412</v>
      </c>
      <c r="E18" s="383">
        <f t="shared" si="0"/>
        <v>2.8452247553029579</v>
      </c>
      <c r="F18" s="23"/>
    </row>
    <row r="19" spans="1:6" x14ac:dyDescent="0.25">
      <c r="A19" s="364" t="s">
        <v>7</v>
      </c>
      <c r="B19" s="388">
        <f>SUM(B7:B18)</f>
        <v>231796219</v>
      </c>
      <c r="C19" s="388">
        <f>SUM(C7:C18)</f>
        <v>12719576</v>
      </c>
      <c r="D19" s="388">
        <f>SUM(D7:D18)</f>
        <v>87027687</v>
      </c>
      <c r="E19" s="383">
        <f t="shared" si="0"/>
        <v>37.544912240350222</v>
      </c>
      <c r="F19" s="23"/>
    </row>
    <row r="20" spans="1:6" x14ac:dyDescent="0.25">
      <c r="A20" s="364"/>
      <c r="B20" s="387"/>
      <c r="C20" s="387"/>
      <c r="D20" s="360"/>
      <c r="E20" s="383"/>
      <c r="F20" s="23"/>
    </row>
    <row r="21" spans="1:6" x14ac:dyDescent="0.25">
      <c r="A21" s="364" t="s">
        <v>1206</v>
      </c>
      <c r="B21" s="387"/>
      <c r="C21" s="380">
        <f>C19</f>
        <v>12719576</v>
      </c>
      <c r="D21" s="380">
        <f>D19</f>
        <v>87027687</v>
      </c>
      <c r="E21" s="383"/>
      <c r="F21" s="389"/>
    </row>
    <row r="22" spans="1:6" ht="15.75" thickBot="1" x14ac:dyDescent="0.3">
      <c r="A22" s="390"/>
      <c r="B22" s="391"/>
      <c r="C22" s="392"/>
      <c r="D22" s="360"/>
      <c r="E22" s="383"/>
      <c r="F22" s="23"/>
    </row>
    <row r="23" spans="1:6" ht="15.75" thickTop="1" x14ac:dyDescent="0.25">
      <c r="A23" s="23"/>
      <c r="B23" s="23"/>
      <c r="C23" s="393"/>
      <c r="D23" s="383"/>
      <c r="E23" s="383"/>
      <c r="F23" s="219"/>
    </row>
    <row r="24" spans="1:6" ht="16.5" thickBot="1" x14ac:dyDescent="0.3">
      <c r="A24" s="394" t="s">
        <v>1207</v>
      </c>
      <c r="B24" s="394"/>
      <c r="C24" s="395"/>
      <c r="D24" s="383"/>
      <c r="E24" s="383"/>
      <c r="F24" s="23"/>
    </row>
    <row r="25" spans="1:6" ht="15.75" thickTop="1" x14ac:dyDescent="0.25">
      <c r="A25" s="23"/>
      <c r="B25" s="23"/>
      <c r="C25" s="23"/>
      <c r="D25" s="383"/>
      <c r="E25" s="383"/>
      <c r="F25" s="23"/>
    </row>
    <row r="26" spans="1:6" x14ac:dyDescent="0.25">
      <c r="A26" s="23" t="s">
        <v>1208</v>
      </c>
      <c r="B26" s="23"/>
      <c r="C26" s="23"/>
      <c r="D26" s="396"/>
      <c r="E26" s="383"/>
      <c r="F26" s="23"/>
    </row>
    <row r="27" spans="1:6" ht="18.75" x14ac:dyDescent="0.3">
      <c r="A27" s="382" t="s">
        <v>1209</v>
      </c>
      <c r="B27" s="382"/>
      <c r="C27" s="23"/>
      <c r="D27" s="383"/>
      <c r="E27" s="383"/>
      <c r="F27" s="23"/>
    </row>
    <row r="28" spans="1:6" x14ac:dyDescent="0.25">
      <c r="A28" s="23"/>
      <c r="B28" s="23" t="s">
        <v>1128</v>
      </c>
      <c r="C28" s="23" t="s">
        <v>1210</v>
      </c>
      <c r="D28" s="386" t="s">
        <v>1130</v>
      </c>
      <c r="E28" s="383"/>
      <c r="F28" s="23"/>
    </row>
    <row r="29" spans="1:6" x14ac:dyDescent="0.25">
      <c r="A29" s="353" t="s">
        <v>1211</v>
      </c>
      <c r="B29" s="397">
        <v>14316360</v>
      </c>
      <c r="C29" s="398">
        <v>14316360</v>
      </c>
      <c r="D29" s="399">
        <f>C29/B29*100</f>
        <v>100</v>
      </c>
      <c r="E29" s="383"/>
      <c r="F29" s="23"/>
    </row>
    <row r="30" spans="1:6" x14ac:dyDescent="0.25">
      <c r="A30" s="353" t="s">
        <v>1212</v>
      </c>
      <c r="B30" s="397">
        <v>53440000</v>
      </c>
      <c r="C30" s="397">
        <f>14540000+19480000</f>
        <v>34020000</v>
      </c>
      <c r="D30" s="399">
        <f>C30/B30*100</f>
        <v>63.66017964071856</v>
      </c>
      <c r="E30" s="383"/>
      <c r="F30" s="23"/>
    </row>
    <row r="31" spans="1:6" x14ac:dyDescent="0.25">
      <c r="A31" s="400"/>
      <c r="B31" s="29"/>
      <c r="C31" s="29"/>
      <c r="D31" s="401"/>
      <c r="E31" s="402"/>
      <c r="F31" s="29"/>
    </row>
    <row r="32" spans="1:6" x14ac:dyDescent="0.25">
      <c r="A32" s="403"/>
      <c r="B32" s="404"/>
      <c r="C32" s="404"/>
      <c r="D32" s="372"/>
      <c r="E32" s="402"/>
      <c r="F32" s="29"/>
    </row>
    <row r="33" spans="1:6" x14ac:dyDescent="0.25">
      <c r="A33" s="405" t="s">
        <v>1213</v>
      </c>
      <c r="B33" s="405"/>
      <c r="C33" s="23"/>
      <c r="D33" s="383"/>
      <c r="E33" s="383"/>
      <c r="F33" s="23"/>
    </row>
    <row r="34" spans="1:6" x14ac:dyDescent="0.25">
      <c r="A34" s="352" t="s">
        <v>1214</v>
      </c>
      <c r="B34" s="23"/>
      <c r="C34" s="23"/>
      <c r="D34" s="383"/>
      <c r="E34" s="383"/>
      <c r="F34" s="23"/>
    </row>
    <row r="35" spans="1:6" x14ac:dyDescent="0.25">
      <c r="A35" s="406" t="s">
        <v>1128</v>
      </c>
      <c r="B35" s="407">
        <f>5212000+800000+890000+934000</f>
        <v>7836000</v>
      </c>
      <c r="C35" s="23"/>
      <c r="D35" s="383"/>
      <c r="E35" s="383"/>
      <c r="F35" s="23"/>
    </row>
    <row r="36" spans="1:6" x14ac:dyDescent="0.25">
      <c r="A36" s="406" t="s">
        <v>1215</v>
      </c>
      <c r="B36" s="407">
        <f>5212000+800000+890000+934000</f>
        <v>7836000</v>
      </c>
      <c r="C36" s="23"/>
      <c r="D36" s="383"/>
      <c r="E36" s="383"/>
      <c r="F36" s="23"/>
    </row>
    <row r="37" spans="1:6" x14ac:dyDescent="0.25">
      <c r="A37" s="406" t="s">
        <v>1216</v>
      </c>
      <c r="B37" s="407">
        <f>5853260+6430+599-9889+25838+1910+48785+516235</f>
        <v>6443168</v>
      </c>
      <c r="C37" s="23"/>
      <c r="D37" s="383"/>
      <c r="E37" s="383"/>
      <c r="F37" s="23"/>
    </row>
    <row r="38" spans="1:6" x14ac:dyDescent="0.25">
      <c r="A38" s="406" t="s">
        <v>1217</v>
      </c>
      <c r="B38" s="408">
        <f>B37/B36*1</f>
        <v>0.82225216947422153</v>
      </c>
      <c r="C38" s="23"/>
      <c r="D38" s="383"/>
      <c r="E38" s="383"/>
      <c r="F38" s="23"/>
    </row>
    <row r="39" spans="1:6" x14ac:dyDescent="0.25">
      <c r="A39" s="406" t="s">
        <v>1218</v>
      </c>
      <c r="B39" s="407">
        <f>B36-B37</f>
        <v>1392832</v>
      </c>
      <c r="C39" s="23"/>
      <c r="D39" s="383"/>
      <c r="E39" s="383"/>
      <c r="F39" s="23"/>
    </row>
    <row r="40" spans="1:6" x14ac:dyDescent="0.25">
      <c r="A40" s="409"/>
      <c r="B40" s="410"/>
      <c r="C40" s="23"/>
      <c r="D40" s="402"/>
      <c r="E40" s="383"/>
      <c r="F40" s="23"/>
    </row>
    <row r="41" spans="1:6" x14ac:dyDescent="0.25">
      <c r="A41" s="29"/>
      <c r="B41" s="411"/>
      <c r="C41" s="29"/>
      <c r="D41" s="383"/>
      <c r="E41" s="383"/>
      <c r="F41" s="23"/>
    </row>
    <row r="42" spans="1:6" x14ac:dyDescent="0.25">
      <c r="A42" s="412" t="s">
        <v>1219</v>
      </c>
      <c r="B42" s="413"/>
      <c r="C42" s="23"/>
      <c r="D42" s="383"/>
      <c r="E42" s="383"/>
      <c r="F42" s="23"/>
    </row>
    <row r="43" spans="1:6" x14ac:dyDescent="0.25">
      <c r="A43" s="405" t="s">
        <v>1214</v>
      </c>
      <c r="B43" s="405"/>
      <c r="C43" s="23"/>
      <c r="D43" s="383"/>
      <c r="E43" s="383"/>
      <c r="F43" s="23"/>
    </row>
    <row r="44" spans="1:6" x14ac:dyDescent="0.25">
      <c r="A44" s="364" t="s">
        <v>1128</v>
      </c>
      <c r="B44" s="387">
        <f>5000000-489000+1500000+1550000+1600000</f>
        <v>9161000</v>
      </c>
      <c r="C44" s="23"/>
      <c r="D44" s="383"/>
      <c r="E44" s="383"/>
      <c r="F44" s="23"/>
    </row>
    <row r="45" spans="1:6" x14ac:dyDescent="0.25">
      <c r="A45" s="364" t="s">
        <v>1215</v>
      </c>
      <c r="B45" s="387">
        <f>4511000+1500000+1550000+1600000</f>
        <v>9161000</v>
      </c>
      <c r="C45" s="23"/>
      <c r="D45" s="383"/>
      <c r="E45" s="383"/>
      <c r="F45" s="23"/>
    </row>
    <row r="46" spans="1:6" x14ac:dyDescent="0.25">
      <c r="A46" s="358" t="s">
        <v>1220</v>
      </c>
      <c r="B46" s="387">
        <f>4948535+28562+37916+33250+29089+49567+66035+62224+66578+300823+78902+579969+95873+80956+89605+108632+104535+83997+84742+72807+77206+69161+104327+39318+237150+84381+29597+25000+40163+30633+27024</f>
        <v>7766557</v>
      </c>
      <c r="C46" s="23"/>
      <c r="D46" s="383"/>
      <c r="E46" s="383"/>
      <c r="F46" s="23"/>
    </row>
    <row r="47" spans="1:6" x14ac:dyDescent="0.25">
      <c r="A47" s="358" t="s">
        <v>1221</v>
      </c>
      <c r="B47" s="387">
        <v>26615</v>
      </c>
      <c r="C47" s="23"/>
      <c r="D47" s="383"/>
      <c r="E47" s="383"/>
      <c r="F47" s="23"/>
    </row>
    <row r="48" spans="1:6" x14ac:dyDescent="0.25">
      <c r="A48" s="358" t="s">
        <v>1222</v>
      </c>
      <c r="B48" s="414">
        <f>SUM(B46:B47)</f>
        <v>7793172</v>
      </c>
      <c r="C48" s="23"/>
      <c r="D48" s="383"/>
      <c r="E48" s="383"/>
      <c r="F48" s="23"/>
    </row>
    <row r="49" spans="1:6" x14ac:dyDescent="0.25">
      <c r="A49" s="358" t="s">
        <v>1217</v>
      </c>
      <c r="B49" s="415">
        <f>B48/B45*1</f>
        <v>0.85069009933413386</v>
      </c>
      <c r="C49" s="23"/>
      <c r="D49" s="383"/>
      <c r="E49" s="383"/>
      <c r="F49" s="23"/>
    </row>
    <row r="50" spans="1:6" x14ac:dyDescent="0.25">
      <c r="A50" s="358" t="s">
        <v>1218</v>
      </c>
      <c r="B50" s="387">
        <f>B45-B48</f>
        <v>1367828</v>
      </c>
      <c r="C50" s="23"/>
      <c r="D50" s="383"/>
      <c r="E50" s="383"/>
      <c r="F50" s="23"/>
    </row>
    <row r="51" spans="1:6" x14ac:dyDescent="0.25">
      <c r="A51" s="413"/>
      <c r="B51" s="416"/>
      <c r="C51" s="23"/>
      <c r="D51" s="383"/>
      <c r="E51" s="383"/>
      <c r="F51" s="23"/>
    </row>
    <row r="52" spans="1:6" x14ac:dyDescent="0.25">
      <c r="A52" s="369"/>
      <c r="B52" s="369"/>
      <c r="C52" s="23"/>
      <c r="D52" s="383"/>
      <c r="E52" s="383"/>
      <c r="F52" s="23"/>
    </row>
  </sheetData>
  <dataValidations count="2">
    <dataValidation type="whole" allowBlank="1" showInputMessage="1" showErrorMessage="1" error="Enter a whole number" sqref="C7:C8 C10:C12 C18:C19">
      <formula1>-999999999999</formula1>
      <formula2>999999999999</formula2>
    </dataValidation>
    <dataValidation type="whole" allowBlank="1" showInputMessage="1" showErrorMessage="1" sqref="B48:B49">
      <formula1>-99999999999</formula1>
      <formula2>999999999999</formula2>
    </dataValidation>
  </dataValidations>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9" sqref="H9"/>
    </sheetView>
  </sheetViews>
  <sheetFormatPr defaultRowHeight="15" x14ac:dyDescent="0.25"/>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10" workbookViewId="0">
      <selection activeCell="F52" sqref="F52"/>
    </sheetView>
  </sheetViews>
  <sheetFormatPr defaultRowHeight="15" x14ac:dyDescent="0.25"/>
  <cols>
    <col min="2" max="2" width="13" customWidth="1"/>
    <col min="3" max="4" width="13.140625" customWidth="1"/>
  </cols>
  <sheetData>
    <row r="1" spans="1:7" ht="15.75" x14ac:dyDescent="0.25">
      <c r="A1" s="351" t="s">
        <v>1223</v>
      </c>
      <c r="B1" s="23"/>
      <c r="C1" s="23"/>
      <c r="D1" s="23"/>
      <c r="E1" s="23"/>
      <c r="F1" s="23"/>
      <c r="G1" s="23"/>
    </row>
    <row r="2" spans="1:7" x14ac:dyDescent="0.25">
      <c r="A2" s="23"/>
      <c r="B2" s="23"/>
      <c r="C2" s="23"/>
      <c r="D2" s="23"/>
      <c r="E2" s="23"/>
      <c r="F2" s="23"/>
      <c r="G2" s="23"/>
    </row>
    <row r="3" spans="1:7" x14ac:dyDescent="0.25">
      <c r="A3" s="417" t="s">
        <v>1224</v>
      </c>
      <c r="B3" s="417"/>
      <c r="C3" s="417"/>
      <c r="D3" s="29"/>
      <c r="E3" s="29"/>
      <c r="F3" s="23"/>
      <c r="G3" s="23"/>
    </row>
    <row r="4" spans="1:7" x14ac:dyDescent="0.25">
      <c r="A4" s="29"/>
      <c r="B4" s="29"/>
      <c r="C4" s="29"/>
      <c r="D4" s="29"/>
      <c r="E4" s="29"/>
      <c r="F4" s="23"/>
      <c r="G4" s="23"/>
    </row>
    <row r="5" spans="1:7" x14ac:dyDescent="0.25">
      <c r="A5" s="355" t="s">
        <v>1225</v>
      </c>
      <c r="B5" s="355" t="s">
        <v>1128</v>
      </c>
      <c r="C5" s="355" t="s">
        <v>1129</v>
      </c>
      <c r="D5" s="355" t="s">
        <v>1226</v>
      </c>
      <c r="E5" s="355" t="s">
        <v>1130</v>
      </c>
      <c r="F5" s="23"/>
      <c r="G5" s="23"/>
    </row>
    <row r="6" spans="1:7" x14ac:dyDescent="0.25">
      <c r="A6" s="364"/>
      <c r="B6" s="358"/>
      <c r="C6" s="358"/>
      <c r="D6" s="358"/>
      <c r="E6" s="364"/>
      <c r="F6" s="23"/>
      <c r="G6" s="23"/>
    </row>
    <row r="7" spans="1:7" x14ac:dyDescent="0.25">
      <c r="A7" s="364" t="s">
        <v>1223</v>
      </c>
      <c r="B7" s="418">
        <v>43139596</v>
      </c>
      <c r="C7" s="365">
        <f>20132701-115121-1173898</f>
        <v>18843682</v>
      </c>
      <c r="D7" s="387">
        <f>3360018-19187-195439</f>
        <v>3145392</v>
      </c>
      <c r="E7" s="360">
        <f t="shared" ref="E7:E18" si="0">C7/B7*100</f>
        <v>43.680710408136413</v>
      </c>
      <c r="F7" s="23"/>
      <c r="G7" s="23"/>
    </row>
    <row r="8" spans="1:7" x14ac:dyDescent="0.25">
      <c r="A8" s="364" t="s">
        <v>1227</v>
      </c>
      <c r="B8" s="398">
        <v>359454</v>
      </c>
      <c r="C8" s="365">
        <f>124420-0-9373</f>
        <v>115047</v>
      </c>
      <c r="D8" s="387">
        <f>20935-0-1546</f>
        <v>19389</v>
      </c>
      <c r="E8" s="360">
        <f t="shared" si="0"/>
        <v>32.006042497788314</v>
      </c>
      <c r="F8" s="23"/>
      <c r="G8" s="23"/>
    </row>
    <row r="9" spans="1:7" x14ac:dyDescent="0.25">
      <c r="A9" s="364" t="s">
        <v>1228</v>
      </c>
      <c r="B9" s="387">
        <v>143617</v>
      </c>
      <c r="C9" s="365">
        <f>54900-0-0</f>
        <v>54900</v>
      </c>
      <c r="D9" s="387">
        <f>9150-0-0</f>
        <v>9150</v>
      </c>
      <c r="E9" s="360">
        <f t="shared" si="0"/>
        <v>38.226672329877381</v>
      </c>
      <c r="F9" s="23"/>
      <c r="G9" s="23"/>
    </row>
    <row r="10" spans="1:7" x14ac:dyDescent="0.25">
      <c r="A10" s="364" t="s">
        <v>1229</v>
      </c>
      <c r="B10" s="387">
        <v>56599</v>
      </c>
      <c r="C10" s="365">
        <f>69115-7988-29648</f>
        <v>31479</v>
      </c>
      <c r="D10" s="387">
        <f>17538-1874-5804</f>
        <v>9860</v>
      </c>
      <c r="E10" s="360">
        <f t="shared" si="0"/>
        <v>55.61759041679182</v>
      </c>
      <c r="F10" s="23"/>
      <c r="G10" s="23"/>
    </row>
    <row r="11" spans="1:7" x14ac:dyDescent="0.25">
      <c r="A11" s="364" t="s">
        <v>1230</v>
      </c>
      <c r="B11" s="387">
        <v>206588</v>
      </c>
      <c r="C11" s="365">
        <f>103430-1743-4111</f>
        <v>97576</v>
      </c>
      <c r="D11" s="387">
        <f>17125-291-685</f>
        <v>16149</v>
      </c>
      <c r="E11" s="360">
        <f t="shared" si="0"/>
        <v>47.232172246209849</v>
      </c>
      <c r="F11" s="23"/>
      <c r="G11" s="23"/>
    </row>
    <row r="12" spans="1:7" x14ac:dyDescent="0.25">
      <c r="A12" s="364" t="s">
        <v>1231</v>
      </c>
      <c r="B12" s="387">
        <v>42343</v>
      </c>
      <c r="C12" s="365">
        <f>8719-41-854</f>
        <v>7824</v>
      </c>
      <c r="D12" s="387">
        <f>1444-7-142</f>
        <v>1295</v>
      </c>
      <c r="E12" s="360">
        <f t="shared" si="0"/>
        <v>18.477670453203597</v>
      </c>
      <c r="F12" s="23"/>
      <c r="G12" s="23"/>
    </row>
    <row r="13" spans="1:7" x14ac:dyDescent="0.25">
      <c r="A13" s="364" t="s">
        <v>1232</v>
      </c>
      <c r="B13" s="387">
        <v>2322064</v>
      </c>
      <c r="C13" s="365">
        <f>1153960-0-82277</f>
        <v>1071683</v>
      </c>
      <c r="D13" s="387">
        <f>191396-0-13269</f>
        <v>178127</v>
      </c>
      <c r="E13" s="360">
        <f t="shared" si="0"/>
        <v>46.152173238980495</v>
      </c>
      <c r="F13" s="23"/>
      <c r="G13" s="23"/>
    </row>
    <row r="14" spans="1:7" x14ac:dyDescent="0.25">
      <c r="A14" s="364" t="s">
        <v>1233</v>
      </c>
      <c r="B14" s="387">
        <v>3087934</v>
      </c>
      <c r="C14" s="365">
        <f>2003477-32533-537921</f>
        <v>1433023</v>
      </c>
      <c r="D14" s="387">
        <f>286086-2156-74502</f>
        <v>209428</v>
      </c>
      <c r="E14" s="360">
        <f t="shared" si="0"/>
        <v>46.407177096401668</v>
      </c>
      <c r="F14" s="23"/>
      <c r="G14" s="23"/>
    </row>
    <row r="15" spans="1:7" x14ac:dyDescent="0.25">
      <c r="A15" s="364" t="s">
        <v>1234</v>
      </c>
      <c r="B15" s="387">
        <v>8028871</v>
      </c>
      <c r="C15" s="365">
        <f>3857640-19173-255977</f>
        <v>3582490</v>
      </c>
      <c r="D15" s="387">
        <f>639013-3196-42742</f>
        <v>593075</v>
      </c>
      <c r="E15" s="360">
        <f t="shared" si="0"/>
        <v>44.620096648706898</v>
      </c>
      <c r="F15" s="23"/>
      <c r="G15" s="23"/>
    </row>
    <row r="16" spans="1:7" x14ac:dyDescent="0.25">
      <c r="A16" s="364" t="s">
        <v>1235</v>
      </c>
      <c r="B16" s="387">
        <v>1484684</v>
      </c>
      <c r="C16" s="365">
        <f>179825-0-0</f>
        <v>179825</v>
      </c>
      <c r="D16" s="419">
        <f>49114-0-0</f>
        <v>49114</v>
      </c>
      <c r="E16" s="360">
        <f t="shared" si="0"/>
        <v>12.112004978837247</v>
      </c>
      <c r="F16" s="23"/>
      <c r="G16" s="23"/>
    </row>
    <row r="17" spans="1:7" x14ac:dyDescent="0.25">
      <c r="A17" s="364" t="s">
        <v>1236</v>
      </c>
      <c r="B17" s="387">
        <v>3702129</v>
      </c>
      <c r="C17" s="365">
        <f>1543013-1525-116046</f>
        <v>1425442</v>
      </c>
      <c r="D17" s="387">
        <f>213790-0-8027</f>
        <v>205763</v>
      </c>
      <c r="E17" s="360">
        <f t="shared" si="0"/>
        <v>38.503304449952985</v>
      </c>
      <c r="F17" s="23"/>
      <c r="G17" s="23"/>
    </row>
    <row r="18" spans="1:7" x14ac:dyDescent="0.25">
      <c r="A18" s="364" t="s">
        <v>1237</v>
      </c>
      <c r="B18" s="387">
        <v>1772396</v>
      </c>
      <c r="C18" s="365">
        <f>825671-61200</f>
        <v>764471</v>
      </c>
      <c r="D18" s="387">
        <f>138325-10000</f>
        <v>128325</v>
      </c>
      <c r="E18" s="360">
        <f t="shared" si="0"/>
        <v>43.132065294663271</v>
      </c>
      <c r="F18" s="23"/>
      <c r="G18" s="23"/>
    </row>
    <row r="19" spans="1:7" x14ac:dyDescent="0.25">
      <c r="A19" s="357"/>
      <c r="B19" s="373"/>
      <c r="C19" s="359"/>
      <c r="D19" s="373"/>
      <c r="E19" s="420"/>
      <c r="F19" s="23"/>
      <c r="G19" s="23"/>
    </row>
    <row r="20" spans="1:7" x14ac:dyDescent="0.25">
      <c r="A20" s="421" t="s">
        <v>1238</v>
      </c>
      <c r="B20" s="422"/>
      <c r="C20" s="423"/>
      <c r="D20" s="424"/>
      <c r="E20" s="420"/>
      <c r="F20" s="23"/>
      <c r="G20" s="23"/>
    </row>
    <row r="21" spans="1:7" x14ac:dyDescent="0.25">
      <c r="A21" s="425" t="s">
        <v>1239</v>
      </c>
      <c r="B21" s="426">
        <f>SUM(B7:B18)</f>
        <v>64346275</v>
      </c>
      <c r="C21" s="427">
        <f>SUM(C7:C18)</f>
        <v>27607442</v>
      </c>
      <c r="D21" s="427">
        <f>SUM(D7:D18)</f>
        <v>4565067</v>
      </c>
      <c r="E21" s="428">
        <f>C21/B21*100</f>
        <v>42.904491363330663</v>
      </c>
      <c r="F21" s="23"/>
      <c r="G21" s="23"/>
    </row>
    <row r="22" spans="1:7" x14ac:dyDescent="0.25">
      <c r="A22" s="23"/>
      <c r="B22" s="23"/>
      <c r="C22" s="148"/>
      <c r="D22" s="23"/>
      <c r="E22" s="23"/>
      <c r="F22" s="23"/>
      <c r="G22" s="23"/>
    </row>
    <row r="23" spans="1:7" x14ac:dyDescent="0.25">
      <c r="A23" s="23"/>
      <c r="B23" s="23"/>
      <c r="C23" s="148"/>
      <c r="D23" s="23"/>
      <c r="E23" s="23"/>
      <c r="F23" s="23"/>
      <c r="G23" s="23"/>
    </row>
    <row r="24" spans="1:7" x14ac:dyDescent="0.25">
      <c r="A24" s="417" t="s">
        <v>1240</v>
      </c>
      <c r="B24" s="417"/>
      <c r="C24" s="29"/>
      <c r="D24" s="29"/>
      <c r="E24" s="29"/>
      <c r="F24" s="23"/>
      <c r="G24" s="23"/>
    </row>
    <row r="25" spans="1:7" x14ac:dyDescent="0.25">
      <c r="A25" s="29"/>
      <c r="B25" s="29"/>
      <c r="C25" s="29"/>
      <c r="D25" s="29"/>
      <c r="E25" s="29"/>
      <c r="F25" s="23"/>
      <c r="G25" s="23"/>
    </row>
    <row r="26" spans="1:7" x14ac:dyDescent="0.25">
      <c r="A26" s="355" t="s">
        <v>1225</v>
      </c>
      <c r="B26" s="355" t="s">
        <v>1128</v>
      </c>
      <c r="C26" s="355" t="s">
        <v>1129</v>
      </c>
      <c r="D26" s="355" t="s">
        <v>1226</v>
      </c>
      <c r="E26" s="355" t="s">
        <v>1130</v>
      </c>
      <c r="F26" s="23"/>
      <c r="G26" s="23"/>
    </row>
    <row r="27" spans="1:7" x14ac:dyDescent="0.25">
      <c r="A27" s="421" t="s">
        <v>1241</v>
      </c>
      <c r="B27" s="424"/>
      <c r="C27" s="424"/>
      <c r="D27" s="424"/>
      <c r="E27" s="421"/>
      <c r="F27" s="23"/>
      <c r="G27" s="23"/>
    </row>
    <row r="28" spans="1:7" x14ac:dyDescent="0.25">
      <c r="A28" s="412" t="s">
        <v>1242</v>
      </c>
      <c r="B28" s="429">
        <v>16855524</v>
      </c>
      <c r="C28" s="429">
        <f>901414+849619+346348+281564+5176406</f>
        <v>7555351</v>
      </c>
      <c r="D28" s="429">
        <f>150236+188072+58225+46927+847164</f>
        <v>1290624</v>
      </c>
      <c r="E28" s="428">
        <f>C28/B28*100</f>
        <v>44.824183454634813</v>
      </c>
      <c r="F28" s="23"/>
      <c r="G28" s="23"/>
    </row>
    <row r="29" spans="1:7" x14ac:dyDescent="0.25">
      <c r="A29" s="23"/>
      <c r="B29" s="23"/>
      <c r="C29" s="23"/>
      <c r="D29" s="23"/>
      <c r="E29" s="23"/>
      <c r="F29" s="23"/>
      <c r="G29" s="23"/>
    </row>
    <row r="30" spans="1:7" x14ac:dyDescent="0.25">
      <c r="A30" s="23"/>
      <c r="B30" s="23"/>
      <c r="C30" s="23"/>
      <c r="D30" s="23"/>
      <c r="E30" s="23"/>
      <c r="F30" s="23"/>
      <c r="G30" s="23"/>
    </row>
  </sheetData>
  <pageMargins left="0.70866141732283472" right="0.70866141732283472" top="0.74803149606299213" bottom="0.74803149606299213" header="0.31496062992125984" footer="0.31496062992125984"/>
  <pageSetup paperSize="9" scale="80" fitToHeight="0" orientation="portrait" r:id="rId1"/>
  <headerFooter>
    <oddFooter>&amp;L&amp;N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53" workbookViewId="0">
      <selection activeCell="F52" sqref="F52"/>
    </sheetView>
  </sheetViews>
  <sheetFormatPr defaultRowHeight="15" x14ac:dyDescent="0.25"/>
  <cols>
    <col min="2" max="2" width="11.85546875" customWidth="1"/>
    <col min="4" max="4" width="13" customWidth="1"/>
    <col min="5" max="5" width="12.7109375" customWidth="1"/>
    <col min="6" max="6" width="10.28515625" customWidth="1"/>
  </cols>
  <sheetData>
    <row r="1" spans="1:8" x14ac:dyDescent="0.25">
      <c r="A1" s="23"/>
      <c r="B1" s="23"/>
      <c r="C1" s="23"/>
      <c r="D1" s="23"/>
      <c r="E1" s="23"/>
      <c r="F1" s="23"/>
      <c r="G1" s="23"/>
      <c r="H1" s="23"/>
    </row>
    <row r="2" spans="1:8" ht="15.75" x14ac:dyDescent="0.25">
      <c r="A2" s="351" t="s">
        <v>1243</v>
      </c>
      <c r="B2" s="351"/>
      <c r="C2" s="351"/>
      <c r="D2" s="23"/>
      <c r="E2" s="23"/>
      <c r="F2" s="23"/>
      <c r="G2" s="23"/>
      <c r="H2" s="23"/>
    </row>
    <row r="3" spans="1:8" x14ac:dyDescent="0.25">
      <c r="A3" s="352"/>
      <c r="B3" s="352"/>
      <c r="C3" s="23"/>
      <c r="D3" s="23"/>
      <c r="E3" s="23"/>
      <c r="F3" s="23"/>
      <c r="G3" s="23"/>
      <c r="H3" s="23"/>
    </row>
    <row r="4" spans="1:8" x14ac:dyDescent="0.25">
      <c r="A4" s="353" t="s">
        <v>1125</v>
      </c>
      <c r="B4" s="353" t="s">
        <v>1126</v>
      </c>
      <c r="C4" s="353" t="s">
        <v>1127</v>
      </c>
      <c r="D4" s="353" t="s">
        <v>1128</v>
      </c>
      <c r="E4" s="353" t="s">
        <v>1129</v>
      </c>
      <c r="F4" s="355" t="s">
        <v>1130</v>
      </c>
      <c r="G4" s="23"/>
      <c r="H4" s="23"/>
    </row>
    <row r="5" spans="1:8" x14ac:dyDescent="0.25">
      <c r="A5" s="356" t="s">
        <v>1131</v>
      </c>
      <c r="B5" s="357" t="s">
        <v>1132</v>
      </c>
      <c r="C5" s="357" t="s">
        <v>1133</v>
      </c>
      <c r="D5" s="373">
        <v>21358</v>
      </c>
      <c r="E5" s="373">
        <v>8374</v>
      </c>
      <c r="F5" s="430">
        <f>E5/D5*100</f>
        <v>39.207790991665888</v>
      </c>
      <c r="G5" s="23"/>
      <c r="H5" s="23"/>
    </row>
    <row r="6" spans="1:8" x14ac:dyDescent="0.25">
      <c r="A6" s="361"/>
      <c r="B6" s="361"/>
      <c r="C6" s="361"/>
      <c r="D6" s="362"/>
      <c r="E6" s="362">
        <v>0</v>
      </c>
      <c r="F6" s="361"/>
      <c r="G6" s="23"/>
      <c r="H6" s="23"/>
    </row>
    <row r="7" spans="1:8" x14ac:dyDescent="0.25">
      <c r="A7" s="23"/>
      <c r="B7" s="23"/>
      <c r="C7" s="23"/>
      <c r="D7" s="23"/>
      <c r="E7" s="23"/>
      <c r="F7" s="23"/>
      <c r="G7" s="23"/>
      <c r="H7" s="23"/>
    </row>
    <row r="8" spans="1:8" x14ac:dyDescent="0.25">
      <c r="A8" s="363" t="s">
        <v>1134</v>
      </c>
      <c r="B8" s="364" t="s">
        <v>1135</v>
      </c>
      <c r="C8" s="364" t="s">
        <v>1133</v>
      </c>
      <c r="D8" s="358">
        <v>4000</v>
      </c>
      <c r="E8" s="358">
        <v>0</v>
      </c>
      <c r="F8" s="360">
        <v>0</v>
      </c>
      <c r="G8" s="23"/>
      <c r="H8" s="23"/>
    </row>
    <row r="9" spans="1:8" x14ac:dyDescent="0.25">
      <c r="A9" s="29"/>
      <c r="B9" s="29"/>
      <c r="C9" s="29"/>
      <c r="D9" s="369"/>
      <c r="E9" s="369">
        <v>0</v>
      </c>
      <c r="F9" s="29"/>
      <c r="G9" s="23"/>
      <c r="H9" s="23"/>
    </row>
    <row r="10" spans="1:8" x14ac:dyDescent="0.25">
      <c r="A10" s="29"/>
      <c r="B10" s="29"/>
      <c r="C10" s="29"/>
      <c r="D10" s="369"/>
      <c r="E10" s="369">
        <v>0</v>
      </c>
      <c r="F10" s="29"/>
      <c r="G10" s="23"/>
      <c r="H10" s="23"/>
    </row>
    <row r="11" spans="1:8" x14ac:dyDescent="0.25">
      <c r="A11" s="363" t="s">
        <v>1136</v>
      </c>
      <c r="B11" s="364" t="s">
        <v>1137</v>
      </c>
      <c r="C11" s="364" t="s">
        <v>1133</v>
      </c>
      <c r="D11" s="358">
        <v>24562</v>
      </c>
      <c r="E11" s="358">
        <v>22824</v>
      </c>
      <c r="F11" s="430">
        <f>E11/D11*100</f>
        <v>92.92402898786743</v>
      </c>
      <c r="G11" s="23"/>
      <c r="H11" s="23"/>
    </row>
    <row r="12" spans="1:8" x14ac:dyDescent="0.25">
      <c r="A12" s="29"/>
      <c r="B12" s="29"/>
      <c r="C12" s="29"/>
      <c r="D12" s="369"/>
      <c r="E12" s="369">
        <v>0</v>
      </c>
      <c r="F12" s="29"/>
      <c r="G12" s="23"/>
      <c r="H12" s="23"/>
    </row>
    <row r="13" spans="1:8" x14ac:dyDescent="0.25">
      <c r="A13" s="23"/>
      <c r="B13" s="23"/>
      <c r="C13" s="23"/>
      <c r="D13" s="23"/>
      <c r="E13" s="431">
        <v>0</v>
      </c>
      <c r="F13" s="23"/>
      <c r="G13" s="23"/>
      <c r="H13" s="23"/>
    </row>
    <row r="14" spans="1:8" x14ac:dyDescent="0.25">
      <c r="A14" s="363" t="s">
        <v>1138</v>
      </c>
      <c r="B14" s="364" t="s">
        <v>307</v>
      </c>
      <c r="C14" s="364" t="s">
        <v>1139</v>
      </c>
      <c r="D14" s="358">
        <v>26698</v>
      </c>
      <c r="E14" s="358">
        <v>26055</v>
      </c>
      <c r="F14" s="430">
        <f>E14/D14*100</f>
        <v>97.591579893624996</v>
      </c>
      <c r="G14" s="23"/>
      <c r="H14" s="23"/>
    </row>
    <row r="15" spans="1:8" x14ac:dyDescent="0.25">
      <c r="A15" s="29"/>
      <c r="B15" s="29"/>
      <c r="C15" s="29"/>
      <c r="D15" s="369"/>
      <c r="E15" s="369">
        <v>0</v>
      </c>
      <c r="F15" s="29"/>
      <c r="G15" s="23"/>
      <c r="H15" s="23"/>
    </row>
    <row r="16" spans="1:8" x14ac:dyDescent="0.25">
      <c r="A16" s="366"/>
      <c r="B16" s="29"/>
      <c r="C16" s="29"/>
      <c r="D16" s="369"/>
      <c r="E16" s="369">
        <v>0</v>
      </c>
      <c r="F16" s="29"/>
      <c r="G16" s="23"/>
      <c r="H16" s="23"/>
    </row>
    <row r="17" spans="1:8" x14ac:dyDescent="0.25">
      <c r="A17" s="363" t="s">
        <v>1140</v>
      </c>
      <c r="B17" s="364" t="s">
        <v>1141</v>
      </c>
      <c r="C17" s="364" t="s">
        <v>1133</v>
      </c>
      <c r="D17" s="358">
        <v>300000</v>
      </c>
      <c r="E17" s="358">
        <v>127829</v>
      </c>
      <c r="F17" s="360">
        <f>E17/D17*100</f>
        <v>42.609666666666669</v>
      </c>
      <c r="G17" s="23"/>
      <c r="H17" s="23"/>
    </row>
    <row r="18" spans="1:8" x14ac:dyDescent="0.25">
      <c r="A18" s="29"/>
      <c r="B18" s="29"/>
      <c r="C18" s="29"/>
      <c r="D18" s="369"/>
      <c r="E18" s="369">
        <v>0</v>
      </c>
      <c r="F18" s="29"/>
      <c r="G18" s="23"/>
      <c r="H18" s="23"/>
    </row>
    <row r="19" spans="1:8" x14ac:dyDescent="0.25">
      <c r="A19" s="23"/>
      <c r="B19" s="23"/>
      <c r="C19" s="23"/>
      <c r="D19" s="23"/>
      <c r="E19" s="431">
        <v>0</v>
      </c>
      <c r="F19" s="23"/>
      <c r="G19" s="23"/>
      <c r="H19" s="23"/>
    </row>
    <row r="20" spans="1:8" x14ac:dyDescent="0.25">
      <c r="A20" s="356" t="s">
        <v>1142</v>
      </c>
      <c r="B20" s="357" t="s">
        <v>240</v>
      </c>
      <c r="C20" s="357" t="s">
        <v>1143</v>
      </c>
      <c r="D20" s="358">
        <v>380000</v>
      </c>
      <c r="E20" s="365">
        <v>137770</v>
      </c>
      <c r="F20" s="360">
        <f>E20/D20*100</f>
        <v>36.255263157894731</v>
      </c>
      <c r="G20" s="23"/>
      <c r="H20" s="23"/>
    </row>
    <row r="21" spans="1:8" x14ac:dyDescent="0.25">
      <c r="A21" s="361"/>
      <c r="B21" s="361"/>
      <c r="C21" s="361"/>
      <c r="D21" s="362"/>
      <c r="E21" s="362">
        <v>0</v>
      </c>
      <c r="F21" s="361"/>
      <c r="G21" s="23"/>
      <c r="H21" s="23"/>
    </row>
    <row r="22" spans="1:8" x14ac:dyDescent="0.25">
      <c r="A22" s="328"/>
      <c r="B22" s="23"/>
      <c r="C22" s="23"/>
      <c r="D22" s="23"/>
      <c r="E22" s="431">
        <v>0</v>
      </c>
      <c r="F22" s="23"/>
      <c r="G22" s="23"/>
      <c r="H22" s="23"/>
    </row>
    <row r="23" spans="1:8" x14ac:dyDescent="0.25">
      <c r="A23" s="432" t="s">
        <v>1144</v>
      </c>
      <c r="B23" s="364" t="s">
        <v>1244</v>
      </c>
      <c r="C23" s="364" t="s">
        <v>1133</v>
      </c>
      <c r="D23" s="418">
        <v>0</v>
      </c>
      <c r="E23" s="398">
        <v>0</v>
      </c>
      <c r="F23" s="360">
        <v>0</v>
      </c>
      <c r="G23" s="23"/>
      <c r="H23" s="23"/>
    </row>
    <row r="24" spans="1:8" x14ac:dyDescent="0.25">
      <c r="A24" s="23"/>
      <c r="B24" s="23"/>
      <c r="C24" s="23"/>
      <c r="D24" s="23"/>
      <c r="E24" s="23"/>
      <c r="F24" s="23"/>
      <c r="G24" s="23"/>
      <c r="H24" s="23"/>
    </row>
    <row r="25" spans="1:8" x14ac:dyDescent="0.25">
      <c r="A25" s="363" t="s">
        <v>1147</v>
      </c>
      <c r="B25" s="364" t="s">
        <v>1148</v>
      </c>
      <c r="C25" s="364" t="s">
        <v>1139</v>
      </c>
      <c r="D25" s="358">
        <v>0</v>
      </c>
      <c r="E25" s="358">
        <v>0</v>
      </c>
      <c r="F25" s="360">
        <v>0</v>
      </c>
      <c r="G25" s="23"/>
      <c r="H25" s="23"/>
    </row>
    <row r="26" spans="1:8" x14ac:dyDescent="0.25">
      <c r="A26" s="23"/>
      <c r="B26" s="23"/>
      <c r="C26" s="23"/>
      <c r="D26" s="369"/>
      <c r="E26" s="369"/>
      <c r="F26" s="29"/>
      <c r="G26" s="23"/>
      <c r="H26" s="23"/>
    </row>
    <row r="27" spans="1:8" x14ac:dyDescent="0.25">
      <c r="A27" s="363" t="s">
        <v>1149</v>
      </c>
      <c r="B27" s="364" t="s">
        <v>220</v>
      </c>
      <c r="C27" s="364" t="s">
        <v>1133</v>
      </c>
      <c r="D27" s="358">
        <v>600000</v>
      </c>
      <c r="E27" s="358">
        <v>308497</v>
      </c>
      <c r="F27" s="430">
        <f>E27/D27*100</f>
        <v>51.416166666666662</v>
      </c>
      <c r="G27" s="23"/>
      <c r="H27" s="23"/>
    </row>
    <row r="28" spans="1:8" x14ac:dyDescent="0.25">
      <c r="A28" s="370"/>
      <c r="B28" s="29"/>
      <c r="C28" s="29"/>
      <c r="D28" s="369"/>
      <c r="E28" s="369"/>
      <c r="F28" s="433"/>
      <c r="G28" s="23"/>
      <c r="H28" s="23"/>
    </row>
    <row r="29" spans="1:8" x14ac:dyDescent="0.25">
      <c r="A29" s="23"/>
      <c r="B29" s="23"/>
      <c r="C29" s="23"/>
      <c r="D29" s="23"/>
      <c r="E29" s="23"/>
      <c r="F29" s="148"/>
      <c r="G29" s="23"/>
      <c r="H29" s="23"/>
    </row>
    <row r="30" spans="1:8" x14ac:dyDescent="0.25">
      <c r="A30" s="363" t="s">
        <v>1150</v>
      </c>
      <c r="B30" s="364" t="s">
        <v>1151</v>
      </c>
      <c r="C30" s="364" t="s">
        <v>1133</v>
      </c>
      <c r="D30" s="358">
        <v>91839</v>
      </c>
      <c r="E30" s="358">
        <v>43901</v>
      </c>
      <c r="F30" s="430">
        <f>E30/D30*100</f>
        <v>47.802131991855312</v>
      </c>
      <c r="G30" s="23"/>
      <c r="H30" s="23"/>
    </row>
    <row r="31" spans="1:8" x14ac:dyDescent="0.25">
      <c r="A31" s="29"/>
      <c r="B31" s="29"/>
      <c r="C31" s="29"/>
      <c r="D31" s="369"/>
      <c r="E31" s="369"/>
      <c r="F31" s="328"/>
      <c r="G31" s="23"/>
      <c r="H31" s="23"/>
    </row>
    <row r="32" spans="1:8" x14ac:dyDescent="0.25">
      <c r="A32" s="328"/>
      <c r="B32" s="23"/>
      <c r="C32" s="23"/>
      <c r="D32" s="23"/>
      <c r="E32" s="23"/>
      <c r="F32" s="148"/>
      <c r="G32" s="23"/>
      <c r="H32" s="23"/>
    </row>
    <row r="33" spans="1:8" x14ac:dyDescent="0.25">
      <c r="A33" s="23"/>
      <c r="B33" s="23"/>
      <c r="C33" s="23"/>
      <c r="D33" s="23"/>
      <c r="E33" s="23"/>
      <c r="F33" s="148"/>
      <c r="G33" s="23"/>
      <c r="H33" s="23"/>
    </row>
    <row r="34" spans="1:8" x14ac:dyDescent="0.25">
      <c r="A34" s="363" t="s">
        <v>1152</v>
      </c>
      <c r="B34" s="364" t="s">
        <v>1153</v>
      </c>
      <c r="C34" s="364" t="s">
        <v>1133</v>
      </c>
      <c r="D34" s="358">
        <v>29901</v>
      </c>
      <c r="E34" s="373">
        <v>11914</v>
      </c>
      <c r="F34" s="430">
        <f>E34/D34*100</f>
        <v>39.844821243436677</v>
      </c>
      <c r="G34" s="23"/>
      <c r="H34" s="23"/>
    </row>
    <row r="35" spans="1:8" x14ac:dyDescent="0.25">
      <c r="A35" s="29"/>
      <c r="B35" s="29"/>
      <c r="C35" s="29"/>
      <c r="D35" s="369"/>
      <c r="E35" s="362"/>
      <c r="F35" s="434"/>
      <c r="G35" s="23"/>
      <c r="H35" s="23"/>
    </row>
    <row r="36" spans="1:8" x14ac:dyDescent="0.25">
      <c r="A36" s="363" t="s">
        <v>1154</v>
      </c>
      <c r="B36" s="364" t="s">
        <v>1155</v>
      </c>
      <c r="C36" s="364" t="s">
        <v>1156</v>
      </c>
      <c r="D36" s="358">
        <v>2500</v>
      </c>
      <c r="E36" s="358">
        <v>0</v>
      </c>
      <c r="F36" s="368">
        <f>E36/D36*100</f>
        <v>0</v>
      </c>
      <c r="G36" s="23"/>
      <c r="H36" s="23"/>
    </row>
    <row r="37" spans="1:8" x14ac:dyDescent="0.25">
      <c r="A37" s="29"/>
      <c r="B37" s="29"/>
      <c r="C37" s="29"/>
      <c r="D37" s="23"/>
      <c r="E37" s="23"/>
      <c r="F37" s="328"/>
      <c r="G37" s="23"/>
      <c r="H37" s="23"/>
    </row>
    <row r="38" spans="1:8" x14ac:dyDescent="0.25">
      <c r="A38" s="363" t="s">
        <v>1157</v>
      </c>
      <c r="B38" s="364" t="s">
        <v>1158</v>
      </c>
      <c r="C38" s="364" t="s">
        <v>1156</v>
      </c>
      <c r="D38" s="358">
        <v>138827</v>
      </c>
      <c r="E38" s="358">
        <v>82057</v>
      </c>
      <c r="F38" s="430">
        <f>E38/D38*100</f>
        <v>59.107378247747199</v>
      </c>
      <c r="G38" s="23"/>
      <c r="H38" s="23"/>
    </row>
    <row r="39" spans="1:8" x14ac:dyDescent="0.25">
      <c r="A39" s="29"/>
      <c r="B39" s="29"/>
      <c r="C39" s="29"/>
      <c r="D39" s="369"/>
      <c r="E39" s="369"/>
      <c r="F39" s="29"/>
      <c r="G39" s="23"/>
      <c r="H39" s="23"/>
    </row>
    <row r="40" spans="1:8" x14ac:dyDescent="0.25">
      <c r="A40" s="363" t="s">
        <v>1162</v>
      </c>
      <c r="B40" s="364" t="s">
        <v>1163</v>
      </c>
      <c r="C40" s="364" t="s">
        <v>1133</v>
      </c>
      <c r="D40" s="358">
        <v>357747</v>
      </c>
      <c r="E40" s="358">
        <v>108736</v>
      </c>
      <c r="F40" s="430">
        <f>E40/D40*100</f>
        <v>30.394664385725108</v>
      </c>
      <c r="G40" s="23"/>
      <c r="H40" s="23"/>
    </row>
    <row r="41" spans="1:8" x14ac:dyDescent="0.25">
      <c r="A41" s="328"/>
      <c r="B41" s="29"/>
      <c r="C41" s="29"/>
      <c r="D41" s="369"/>
      <c r="E41" s="369"/>
      <c r="F41" s="29"/>
      <c r="G41" s="23"/>
      <c r="H41" s="23"/>
    </row>
    <row r="42" spans="1:8" x14ac:dyDescent="0.25">
      <c r="A42" s="328"/>
      <c r="B42" s="23"/>
      <c r="C42" s="23"/>
      <c r="D42" s="23"/>
      <c r="E42" s="23"/>
      <c r="F42" s="23"/>
      <c r="G42" s="23"/>
      <c r="H42" s="23"/>
    </row>
    <row r="43" spans="1:8" x14ac:dyDescent="0.25">
      <c r="A43" s="23"/>
      <c r="B43" s="23"/>
      <c r="C43" s="23"/>
      <c r="D43" s="23"/>
      <c r="E43" s="23"/>
      <c r="F43" s="23"/>
      <c r="G43" s="23"/>
      <c r="H43" s="23"/>
    </row>
    <row r="44" spans="1:8" x14ac:dyDescent="0.25">
      <c r="A44" s="363" t="s">
        <v>1166</v>
      </c>
      <c r="B44" s="364" t="s">
        <v>1167</v>
      </c>
      <c r="C44" s="364" t="s">
        <v>1156</v>
      </c>
      <c r="D44" s="358">
        <v>96111</v>
      </c>
      <c r="E44" s="358">
        <v>23292</v>
      </c>
      <c r="F44" s="360">
        <f>E44/D44*100</f>
        <v>24.234478883790615</v>
      </c>
      <c r="G44" s="23"/>
      <c r="H44" s="23"/>
    </row>
    <row r="45" spans="1:8" x14ac:dyDescent="0.25">
      <c r="A45" s="29"/>
      <c r="B45" s="29"/>
      <c r="C45" s="29"/>
      <c r="D45" s="369"/>
      <c r="E45" s="369"/>
      <c r="F45" s="29"/>
      <c r="G45" s="23"/>
      <c r="H45" s="23"/>
    </row>
    <row r="46" spans="1:8" x14ac:dyDescent="0.25">
      <c r="A46" s="29"/>
      <c r="B46" s="29"/>
      <c r="C46" s="29"/>
      <c r="D46" s="369"/>
      <c r="E46" s="369"/>
      <c r="F46" s="29"/>
      <c r="G46" s="23"/>
      <c r="H46" s="23"/>
    </row>
    <row r="47" spans="1:8" x14ac:dyDescent="0.25">
      <c r="A47" s="363" t="s">
        <v>1168</v>
      </c>
      <c r="B47" s="364" t="s">
        <v>1169</v>
      </c>
      <c r="C47" s="364" t="s">
        <v>1170</v>
      </c>
      <c r="D47" s="358">
        <v>58735</v>
      </c>
      <c r="E47" s="358">
        <v>24707</v>
      </c>
      <c r="F47" s="430">
        <f>E47/D47*100</f>
        <v>42.06520813824806</v>
      </c>
      <c r="G47" s="23"/>
      <c r="H47" s="23"/>
    </row>
    <row r="48" spans="1:8" x14ac:dyDescent="0.25">
      <c r="A48" s="29"/>
      <c r="B48" s="29"/>
      <c r="C48" s="29"/>
      <c r="D48" s="369"/>
      <c r="E48" s="369"/>
      <c r="F48" s="29"/>
      <c r="G48" s="23"/>
      <c r="H48" s="23"/>
    </row>
    <row r="49" spans="1:8" x14ac:dyDescent="0.25">
      <c r="A49" s="363" t="s">
        <v>1171</v>
      </c>
      <c r="B49" s="364" t="s">
        <v>1172</v>
      </c>
      <c r="C49" s="364" t="s">
        <v>1173</v>
      </c>
      <c r="D49" s="358">
        <v>471595</v>
      </c>
      <c r="E49" s="358">
        <v>192612</v>
      </c>
      <c r="F49" s="430">
        <f>E49/D49*100</f>
        <v>40.842672208144698</v>
      </c>
      <c r="G49" s="23"/>
      <c r="H49" s="23"/>
    </row>
    <row r="50" spans="1:8" x14ac:dyDescent="0.25">
      <c r="A50" s="29"/>
      <c r="B50" s="29"/>
      <c r="C50" s="29"/>
      <c r="D50" s="369"/>
      <c r="E50" s="369"/>
      <c r="F50" s="29"/>
      <c r="G50" s="23"/>
      <c r="H50" s="23"/>
    </row>
    <row r="51" spans="1:8" x14ac:dyDescent="0.25">
      <c r="A51" s="29"/>
      <c r="B51" s="29"/>
      <c r="C51" s="29"/>
      <c r="D51" s="369"/>
      <c r="E51" s="369"/>
      <c r="F51" s="29"/>
      <c r="G51" s="23"/>
      <c r="H51" s="23"/>
    </row>
    <row r="52" spans="1:8" x14ac:dyDescent="0.25">
      <c r="A52" s="363" t="s">
        <v>1175</v>
      </c>
      <c r="B52" s="364" t="s">
        <v>50</v>
      </c>
      <c r="C52" s="364" t="s">
        <v>1143</v>
      </c>
      <c r="D52" s="358">
        <v>209308</v>
      </c>
      <c r="E52" s="365">
        <v>129914</v>
      </c>
      <c r="F52" s="360">
        <f>E52/D52*100</f>
        <v>62.068339480574089</v>
      </c>
      <c r="G52" s="23"/>
      <c r="H52" s="23"/>
    </row>
    <row r="53" spans="1:8" x14ac:dyDescent="0.25">
      <c r="A53" s="366"/>
      <c r="B53" s="29"/>
      <c r="C53" s="29"/>
      <c r="D53" s="369"/>
      <c r="E53" s="369"/>
      <c r="F53" s="372"/>
      <c r="G53" s="23"/>
      <c r="H53" s="23"/>
    </row>
    <row r="54" spans="1:8" x14ac:dyDescent="0.25">
      <c r="A54" s="29"/>
      <c r="B54" s="29"/>
      <c r="C54" s="29"/>
      <c r="D54" s="369"/>
      <c r="E54" s="369"/>
      <c r="F54" s="29"/>
      <c r="G54" s="23"/>
      <c r="H54" s="23"/>
    </row>
    <row r="55" spans="1:8" x14ac:dyDescent="0.25">
      <c r="A55" s="356" t="s">
        <v>1176</v>
      </c>
      <c r="B55" s="357" t="s">
        <v>1177</v>
      </c>
      <c r="C55" s="357" t="s">
        <v>1143</v>
      </c>
      <c r="D55" s="373">
        <v>74753</v>
      </c>
      <c r="E55" s="373">
        <v>29606</v>
      </c>
      <c r="F55" s="430">
        <f>E55/D55*100</f>
        <v>39.605099460891203</v>
      </c>
      <c r="G55" s="23"/>
      <c r="H55" s="23"/>
    </row>
    <row r="56" spans="1:8" x14ac:dyDescent="0.25">
      <c r="A56" s="361"/>
      <c r="B56" s="361"/>
      <c r="C56" s="361"/>
      <c r="D56" s="362"/>
      <c r="E56" s="362"/>
      <c r="F56" s="361"/>
      <c r="G56" s="23"/>
      <c r="H56" s="23"/>
    </row>
    <row r="57" spans="1:8" x14ac:dyDescent="0.25">
      <c r="A57" s="23"/>
      <c r="B57" s="23"/>
      <c r="C57" s="23"/>
      <c r="D57" s="23"/>
      <c r="E57" s="23"/>
      <c r="F57" s="23"/>
      <c r="G57" s="23"/>
      <c r="H57" s="23"/>
    </row>
    <row r="58" spans="1:8" x14ac:dyDescent="0.25">
      <c r="A58" s="363" t="s">
        <v>1181</v>
      </c>
      <c r="B58" s="364" t="s">
        <v>1182</v>
      </c>
      <c r="C58" s="364" t="s">
        <v>1180</v>
      </c>
      <c r="D58" s="358">
        <v>200000</v>
      </c>
      <c r="E58" s="358">
        <v>154935</v>
      </c>
      <c r="F58" s="430">
        <f>E58/D58*100</f>
        <v>77.467500000000001</v>
      </c>
      <c r="G58" s="23"/>
      <c r="H58" s="23"/>
    </row>
    <row r="59" spans="1:8" x14ac:dyDescent="0.25">
      <c r="A59" s="328"/>
      <c r="B59" s="29"/>
      <c r="C59" s="29"/>
      <c r="D59" s="369"/>
      <c r="E59" s="369"/>
      <c r="F59" s="29"/>
      <c r="G59" s="23"/>
      <c r="H59" s="23"/>
    </row>
    <row r="60" spans="1:8" x14ac:dyDescent="0.25">
      <c r="A60" s="328"/>
      <c r="B60" s="29"/>
      <c r="C60" s="29"/>
      <c r="D60" s="369"/>
      <c r="E60" s="369"/>
      <c r="F60" s="29"/>
      <c r="G60" s="23"/>
      <c r="H60" s="23"/>
    </row>
    <row r="61" spans="1:8" x14ac:dyDescent="0.25">
      <c r="A61" s="328"/>
      <c r="B61" s="29"/>
      <c r="C61" s="29"/>
      <c r="D61" s="369"/>
      <c r="E61" s="369"/>
      <c r="F61" s="29"/>
      <c r="G61" s="23"/>
      <c r="H61" s="23"/>
    </row>
    <row r="62" spans="1:8" x14ac:dyDescent="0.25">
      <c r="A62" s="364"/>
      <c r="B62" s="353" t="s">
        <v>1185</v>
      </c>
      <c r="C62" s="353"/>
      <c r="D62" s="377">
        <f>SUM(D5:D58)</f>
        <v>3087934</v>
      </c>
      <c r="E62" s="377">
        <f>SUM(E5:E60)</f>
        <v>1433023</v>
      </c>
      <c r="F62" s="360">
        <f>E62/D62*100</f>
        <v>46.407177096401668</v>
      </c>
      <c r="G62" s="23"/>
      <c r="H62" s="23"/>
    </row>
    <row r="63" spans="1:8" x14ac:dyDescent="0.25">
      <c r="A63" s="23"/>
      <c r="B63" s="23"/>
      <c r="C63" s="23"/>
      <c r="D63" s="23"/>
      <c r="E63" s="23"/>
      <c r="F63" s="23"/>
      <c r="G63" s="23"/>
      <c r="H63" s="23"/>
    </row>
    <row r="64" spans="1:8" x14ac:dyDescent="0.25">
      <c r="A64" s="23"/>
      <c r="B64" s="23"/>
      <c r="C64" s="23"/>
      <c r="D64" s="435"/>
      <c r="E64" s="23"/>
      <c r="F64" s="23"/>
      <c r="G64" s="23"/>
      <c r="H64" s="23"/>
    </row>
    <row r="65" spans="1:8" ht="15.75" x14ac:dyDescent="0.25">
      <c r="A65" s="436" t="s">
        <v>1245</v>
      </c>
      <c r="B65" s="148"/>
      <c r="C65" s="148"/>
      <c r="D65" s="148"/>
      <c r="E65" s="148"/>
      <c r="F65" s="148"/>
      <c r="G65" s="23"/>
      <c r="H65" s="23"/>
    </row>
    <row r="66" spans="1:8" x14ac:dyDescent="0.25">
      <c r="A66" s="148"/>
      <c r="B66" s="148"/>
      <c r="C66" s="148"/>
      <c r="D66" s="148"/>
      <c r="E66" s="148"/>
      <c r="F66" s="148"/>
      <c r="G66" s="23"/>
      <c r="H66" s="23"/>
    </row>
    <row r="67" spans="1:8" x14ac:dyDescent="0.25">
      <c r="A67" s="148" t="s">
        <v>1246</v>
      </c>
      <c r="B67" s="148"/>
      <c r="C67" s="148"/>
      <c r="D67" s="148"/>
      <c r="E67" s="148"/>
      <c r="F67" s="148"/>
      <c r="G67" s="23"/>
      <c r="H67" s="23"/>
    </row>
    <row r="68" spans="1:8" x14ac:dyDescent="0.25">
      <c r="A68" s="23"/>
      <c r="B68" s="23"/>
      <c r="C68" s="23"/>
      <c r="D68" s="23"/>
      <c r="E68" s="23"/>
      <c r="F68" s="23"/>
      <c r="G68" s="23"/>
      <c r="H68" s="23"/>
    </row>
  </sheetData>
  <pageMargins left="0.70866141732283472" right="0.70866141732283472" top="0.74803149606299213" bottom="0.74803149606299213" header="0.31496062992125984" footer="0.31496062992125984"/>
  <pageSetup paperSize="9" scale="70" fitToHeight="0" orientation="portrait" r:id="rId1"/>
  <headerFooter>
    <oddFooter>&amp;L&amp;N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F52" sqref="F52"/>
    </sheetView>
  </sheetViews>
  <sheetFormatPr defaultRowHeight="15" x14ac:dyDescent="0.25"/>
  <cols>
    <col min="1" max="1" width="35.5703125" customWidth="1"/>
    <col min="2" max="2" width="13.5703125" customWidth="1"/>
    <col min="3" max="3" width="14" customWidth="1"/>
    <col min="4" max="4" width="13.5703125" customWidth="1"/>
    <col min="5" max="5" width="12.140625" customWidth="1"/>
    <col min="6" max="6" width="15" customWidth="1"/>
    <col min="7" max="7" width="12.42578125" customWidth="1"/>
    <col min="14" max="14" width="14" customWidth="1"/>
  </cols>
  <sheetData>
    <row r="1" spans="1:15" x14ac:dyDescent="0.25">
      <c r="A1" s="352" t="s">
        <v>1247</v>
      </c>
      <c r="B1" s="23"/>
      <c r="C1" s="23"/>
      <c r="D1" s="23"/>
      <c r="E1" s="23"/>
      <c r="F1" s="23"/>
      <c r="G1" s="23"/>
      <c r="H1" s="23"/>
      <c r="I1" s="23"/>
      <c r="J1" s="23"/>
      <c r="K1" s="23"/>
      <c r="L1" s="23"/>
      <c r="M1" s="148"/>
      <c r="N1" s="23"/>
      <c r="O1" s="23"/>
    </row>
    <row r="2" spans="1:15" x14ac:dyDescent="0.25">
      <c r="A2" s="23"/>
      <c r="B2" s="352" t="s">
        <v>1248</v>
      </c>
      <c r="C2" s="352" t="s">
        <v>1249</v>
      </c>
      <c r="D2" s="352" t="s">
        <v>1250</v>
      </c>
      <c r="E2" s="352" t="s">
        <v>1251</v>
      </c>
      <c r="F2" s="352" t="s">
        <v>1252</v>
      </c>
      <c r="G2" s="352" t="s">
        <v>1253</v>
      </c>
      <c r="H2" s="352" t="s">
        <v>1254</v>
      </c>
      <c r="I2" s="352" t="s">
        <v>1255</v>
      </c>
      <c r="J2" s="352" t="s">
        <v>1256</v>
      </c>
      <c r="K2" s="352" t="s">
        <v>1257</v>
      </c>
      <c r="L2" s="352" t="s">
        <v>1258</v>
      </c>
      <c r="M2" s="346" t="s">
        <v>1259</v>
      </c>
      <c r="N2" s="23"/>
      <c r="O2" s="23"/>
    </row>
    <row r="3" spans="1:15" x14ac:dyDescent="0.25">
      <c r="A3" s="364" t="s">
        <v>1260</v>
      </c>
      <c r="B3" s="358">
        <v>828721</v>
      </c>
      <c r="C3" s="358">
        <v>533135</v>
      </c>
      <c r="D3" s="358">
        <v>309903</v>
      </c>
      <c r="E3" s="358">
        <v>391997</v>
      </c>
      <c r="F3" s="358">
        <v>292979</v>
      </c>
      <c r="G3" s="358">
        <v>1193504</v>
      </c>
      <c r="H3" s="358"/>
      <c r="I3" s="358"/>
      <c r="J3" s="358"/>
      <c r="K3" s="365"/>
      <c r="L3" s="358"/>
      <c r="M3" s="365"/>
      <c r="N3" s="358">
        <f>SUM(B3:M3)</f>
        <v>3550239</v>
      </c>
      <c r="O3" s="23"/>
    </row>
    <row r="4" spans="1:15" x14ac:dyDescent="0.25">
      <c r="A4" s="364" t="s">
        <v>1261</v>
      </c>
      <c r="B4" s="358">
        <v>668194</v>
      </c>
      <c r="C4" s="358">
        <v>788063</v>
      </c>
      <c r="D4" s="358">
        <v>663816</v>
      </c>
      <c r="E4" s="358">
        <v>702321</v>
      </c>
      <c r="F4" s="358">
        <v>310967</v>
      </c>
      <c r="G4" s="358">
        <v>866505</v>
      </c>
      <c r="H4" s="358"/>
      <c r="I4" s="358"/>
      <c r="J4" s="358"/>
      <c r="K4" s="365"/>
      <c r="L4" s="358"/>
      <c r="M4" s="365"/>
      <c r="N4" s="358">
        <f t="shared" ref="N4:N27" si="0">SUM(B4:M4)</f>
        <v>3999866</v>
      </c>
      <c r="O4" s="23"/>
    </row>
    <row r="5" spans="1:15" x14ac:dyDescent="0.25">
      <c r="A5" s="364" t="s">
        <v>1262</v>
      </c>
      <c r="B5" s="358">
        <v>98571</v>
      </c>
      <c r="C5" s="358">
        <v>144774</v>
      </c>
      <c r="D5" s="358">
        <v>113290</v>
      </c>
      <c r="E5" s="358">
        <v>95717</v>
      </c>
      <c r="F5" s="358">
        <v>53656</v>
      </c>
      <c r="G5" s="358">
        <v>110017</v>
      </c>
      <c r="H5" s="358"/>
      <c r="I5" s="358"/>
      <c r="J5" s="358"/>
      <c r="K5" s="365"/>
      <c r="L5" s="358"/>
      <c r="M5" s="365"/>
      <c r="N5" s="358">
        <f t="shared" si="0"/>
        <v>616025</v>
      </c>
      <c r="O5" s="23"/>
    </row>
    <row r="6" spans="1:15" x14ac:dyDescent="0.25">
      <c r="A6" s="364" t="s">
        <v>1263</v>
      </c>
      <c r="B6" s="358">
        <v>5947</v>
      </c>
      <c r="C6" s="358">
        <v>8418</v>
      </c>
      <c r="D6" s="358">
        <v>8075</v>
      </c>
      <c r="E6" s="358">
        <v>1735</v>
      </c>
      <c r="F6" s="358">
        <v>5961</v>
      </c>
      <c r="G6" s="358">
        <v>3518</v>
      </c>
      <c r="H6" s="358"/>
      <c r="I6" s="358"/>
      <c r="J6" s="358"/>
      <c r="K6" s="365"/>
      <c r="L6" s="358"/>
      <c r="M6" s="365"/>
      <c r="N6" s="358">
        <f t="shared" si="0"/>
        <v>33654</v>
      </c>
      <c r="O6" s="23"/>
    </row>
    <row r="7" spans="1:15" x14ac:dyDescent="0.25">
      <c r="A7" s="364" t="s">
        <v>1264</v>
      </c>
      <c r="B7" s="358">
        <v>0</v>
      </c>
      <c r="C7" s="358">
        <v>0</v>
      </c>
      <c r="D7" s="358">
        <v>0</v>
      </c>
      <c r="E7" s="358">
        <v>117707</v>
      </c>
      <c r="F7" s="358">
        <v>0</v>
      </c>
      <c r="G7" s="358">
        <v>1315017</v>
      </c>
      <c r="H7" s="358"/>
      <c r="I7" s="358"/>
      <c r="J7" s="358"/>
      <c r="K7" s="365"/>
      <c r="L7" s="358"/>
      <c r="M7" s="365"/>
      <c r="N7" s="358">
        <f t="shared" si="0"/>
        <v>1432724</v>
      </c>
      <c r="O7" s="23"/>
    </row>
    <row r="8" spans="1:15" x14ac:dyDescent="0.25">
      <c r="A8" s="364" t="s">
        <v>1265</v>
      </c>
      <c r="B8" s="358">
        <v>296885</v>
      </c>
      <c r="C8" s="358">
        <v>574207</v>
      </c>
      <c r="D8" s="358">
        <v>562415</v>
      </c>
      <c r="E8" s="358">
        <v>588192</v>
      </c>
      <c r="F8" s="358">
        <v>591780</v>
      </c>
      <c r="G8" s="358">
        <v>483503</v>
      </c>
      <c r="H8" s="358"/>
      <c r="I8" s="358"/>
      <c r="J8" s="358"/>
      <c r="K8" s="365"/>
      <c r="L8" s="358"/>
      <c r="M8" s="365"/>
      <c r="N8" s="358">
        <f t="shared" si="0"/>
        <v>3096982</v>
      </c>
      <c r="O8" s="23"/>
    </row>
    <row r="9" spans="1:15" x14ac:dyDescent="0.25">
      <c r="A9" s="364" t="s">
        <v>1266</v>
      </c>
      <c r="B9" s="358">
        <v>8940</v>
      </c>
      <c r="C9" s="358">
        <v>9445</v>
      </c>
      <c r="D9" s="358">
        <v>5350</v>
      </c>
      <c r="E9" s="358">
        <v>1925</v>
      </c>
      <c r="F9" s="358">
        <v>5880</v>
      </c>
      <c r="G9" s="358">
        <v>10040</v>
      </c>
      <c r="H9" s="358"/>
      <c r="I9" s="358"/>
      <c r="J9" s="358"/>
      <c r="K9" s="365"/>
      <c r="L9" s="358"/>
      <c r="M9" s="365"/>
      <c r="N9" s="358">
        <f t="shared" si="0"/>
        <v>41580</v>
      </c>
      <c r="O9" s="23"/>
    </row>
    <row r="10" spans="1:15" x14ac:dyDescent="0.25">
      <c r="A10" s="364" t="s">
        <v>1267</v>
      </c>
      <c r="B10" s="358">
        <v>505993</v>
      </c>
      <c r="C10" s="358">
        <v>154963</v>
      </c>
      <c r="D10" s="358">
        <v>244130</v>
      </c>
      <c r="E10" s="358">
        <v>220593</v>
      </c>
      <c r="F10" s="358">
        <v>94254</v>
      </c>
      <c r="G10" s="358">
        <v>280736</v>
      </c>
      <c r="H10" s="358"/>
      <c r="I10" s="358"/>
      <c r="J10" s="358"/>
      <c r="K10" s="365"/>
      <c r="L10" s="358"/>
      <c r="M10" s="365"/>
      <c r="N10" s="358">
        <f t="shared" si="0"/>
        <v>1500669</v>
      </c>
      <c r="O10" s="23"/>
    </row>
    <row r="11" spans="1:15" x14ac:dyDescent="0.25">
      <c r="A11" s="364" t="s">
        <v>1268</v>
      </c>
      <c r="B11" s="358">
        <v>150069</v>
      </c>
      <c r="C11" s="358">
        <v>161920</v>
      </c>
      <c r="D11" s="358">
        <v>98693</v>
      </c>
      <c r="E11" s="358">
        <v>131260</v>
      </c>
      <c r="F11" s="358">
        <v>214200</v>
      </c>
      <c r="G11" s="358">
        <v>137454</v>
      </c>
      <c r="H11" s="358"/>
      <c r="I11" s="358"/>
      <c r="J11" s="358"/>
      <c r="K11" s="365"/>
      <c r="L11" s="358"/>
      <c r="M11" s="365"/>
      <c r="N11" s="358">
        <f t="shared" si="0"/>
        <v>893596</v>
      </c>
      <c r="O11" s="23"/>
    </row>
    <row r="12" spans="1:15" x14ac:dyDescent="0.25">
      <c r="A12" s="364" t="s">
        <v>1269</v>
      </c>
      <c r="B12" s="358">
        <f>66337000+1600000</f>
        <v>67937000</v>
      </c>
      <c r="C12" s="358">
        <f>692000+934000</f>
        <v>1626000</v>
      </c>
      <c r="D12" s="358">
        <v>0</v>
      </c>
      <c r="E12" s="358">
        <v>0</v>
      </c>
      <c r="F12" s="358">
        <v>0</v>
      </c>
      <c r="G12" s="358"/>
      <c r="H12" s="358"/>
      <c r="I12" s="358"/>
      <c r="J12" s="358"/>
      <c r="K12" s="365"/>
      <c r="L12" s="358"/>
      <c r="M12" s="365"/>
      <c r="N12" s="358">
        <f t="shared" si="0"/>
        <v>69563000</v>
      </c>
      <c r="O12" s="23"/>
    </row>
    <row r="13" spans="1:15" x14ac:dyDescent="0.25">
      <c r="A13" s="364" t="s">
        <v>1270</v>
      </c>
      <c r="B13" s="358">
        <f>8611+250547+8596</f>
        <v>267754</v>
      </c>
      <c r="C13" s="358">
        <f>9714+289203+7158</f>
        <v>306075</v>
      </c>
      <c r="D13" s="358">
        <f>15782+254453+8404+234231</f>
        <v>512870</v>
      </c>
      <c r="E13" s="358">
        <v>232257</v>
      </c>
      <c r="F13" s="358">
        <f>6811+198857+6360</f>
        <v>212028</v>
      </c>
      <c r="G13" s="358">
        <f>169579+31160+157839+5553</f>
        <v>364131</v>
      </c>
      <c r="H13" s="358"/>
      <c r="I13" s="358"/>
      <c r="J13" s="358"/>
      <c r="K13" s="365"/>
      <c r="L13" s="358"/>
      <c r="M13" s="365"/>
      <c r="N13" s="358">
        <f t="shared" si="0"/>
        <v>1895115</v>
      </c>
      <c r="O13" s="23"/>
    </row>
    <row r="14" spans="1:15" x14ac:dyDescent="0.25">
      <c r="A14" s="364"/>
      <c r="B14" s="377">
        <f t="shared" ref="B14:G14" si="1">SUM(B3:B13)</f>
        <v>70768074</v>
      </c>
      <c r="C14" s="377">
        <f t="shared" si="1"/>
        <v>4307000</v>
      </c>
      <c r="D14" s="377">
        <f t="shared" si="1"/>
        <v>2518542</v>
      </c>
      <c r="E14" s="377">
        <f t="shared" si="1"/>
        <v>2483704</v>
      </c>
      <c r="F14" s="377">
        <f t="shared" si="1"/>
        <v>1781705</v>
      </c>
      <c r="G14" s="377">
        <f t="shared" si="1"/>
        <v>4764425</v>
      </c>
      <c r="H14" s="358"/>
      <c r="I14" s="358"/>
      <c r="J14" s="358"/>
      <c r="K14" s="365"/>
      <c r="L14" s="358"/>
      <c r="M14" s="365"/>
      <c r="N14" s="377">
        <f t="shared" ref="N14" si="2">SUM(N3:N13)</f>
        <v>86623450</v>
      </c>
      <c r="O14" s="23"/>
    </row>
    <row r="15" spans="1:15" x14ac:dyDescent="0.25">
      <c r="A15" s="364"/>
      <c r="B15" s="358"/>
      <c r="C15" s="358"/>
      <c r="D15" s="358"/>
      <c r="E15" s="358"/>
      <c r="F15" s="358"/>
      <c r="G15" s="358"/>
      <c r="H15" s="358"/>
      <c r="I15" s="358"/>
      <c r="J15" s="358"/>
      <c r="K15" s="358"/>
      <c r="L15" s="358"/>
      <c r="M15" s="365"/>
      <c r="N15" s="358"/>
      <c r="O15" s="23"/>
    </row>
    <row r="16" spans="1:15" x14ac:dyDescent="0.25">
      <c r="A16" s="353" t="s">
        <v>1271</v>
      </c>
      <c r="B16" s="358"/>
      <c r="C16" s="358"/>
      <c r="D16" s="358"/>
      <c r="E16" s="358"/>
      <c r="F16" s="358"/>
      <c r="G16" s="358"/>
      <c r="H16" s="358"/>
      <c r="I16" s="358"/>
      <c r="J16" s="358"/>
      <c r="K16" s="358"/>
      <c r="L16" s="358"/>
      <c r="M16" s="365"/>
      <c r="N16" s="358"/>
      <c r="O16" s="23"/>
    </row>
    <row r="17" spans="1:15" x14ac:dyDescent="0.25">
      <c r="A17" s="364" t="s">
        <v>1272</v>
      </c>
      <c r="B17" s="358">
        <v>14540000</v>
      </c>
      <c r="C17" s="358">
        <v>0</v>
      </c>
      <c r="D17" s="358">
        <v>0</v>
      </c>
      <c r="E17" s="358"/>
      <c r="F17" s="358"/>
      <c r="G17" s="358">
        <v>19480000</v>
      </c>
      <c r="H17" s="358"/>
      <c r="I17" s="358"/>
      <c r="J17" s="358"/>
      <c r="K17" s="358"/>
      <c r="L17" s="358"/>
      <c r="M17" s="365"/>
      <c r="N17" s="358"/>
      <c r="O17" s="23"/>
    </row>
    <row r="18" spans="1:15" x14ac:dyDescent="0.25">
      <c r="A18" s="364"/>
      <c r="B18" s="358"/>
      <c r="C18" s="358"/>
      <c r="D18" s="358"/>
      <c r="E18" s="358"/>
      <c r="F18" s="358"/>
      <c r="G18" s="358"/>
      <c r="H18" s="358"/>
      <c r="I18" s="358"/>
      <c r="J18" s="358"/>
      <c r="K18" s="358"/>
      <c r="L18" s="358"/>
      <c r="M18" s="365"/>
      <c r="N18" s="358"/>
      <c r="O18" s="23"/>
    </row>
    <row r="19" spans="1:15" ht="17.25" x14ac:dyDescent="0.4">
      <c r="A19" s="364"/>
      <c r="B19" s="437">
        <f>SUM(B14:B17)</f>
        <v>85308074</v>
      </c>
      <c r="C19" s="437">
        <f>SUM(C14:C17)</f>
        <v>4307000</v>
      </c>
      <c r="D19" s="437">
        <f>SUM(D14:D17)</f>
        <v>2518542</v>
      </c>
      <c r="E19" s="437">
        <f t="shared" ref="E19:N19" si="3">SUM(E14:E17)</f>
        <v>2483704</v>
      </c>
      <c r="F19" s="437">
        <f t="shared" si="3"/>
        <v>1781705</v>
      </c>
      <c r="G19" s="437">
        <f t="shared" si="3"/>
        <v>24244425</v>
      </c>
      <c r="H19" s="437">
        <f t="shared" si="3"/>
        <v>0</v>
      </c>
      <c r="I19" s="437">
        <f t="shared" si="3"/>
        <v>0</v>
      </c>
      <c r="J19" s="437">
        <f t="shared" si="3"/>
        <v>0</v>
      </c>
      <c r="K19" s="437">
        <f t="shared" si="3"/>
        <v>0</v>
      </c>
      <c r="L19" s="437">
        <f t="shared" si="3"/>
        <v>0</v>
      </c>
      <c r="M19" s="437">
        <f t="shared" si="3"/>
        <v>0</v>
      </c>
      <c r="N19" s="377">
        <f t="shared" si="3"/>
        <v>86623450</v>
      </c>
      <c r="O19" s="23"/>
    </row>
    <row r="20" spans="1:15" x14ac:dyDescent="0.25">
      <c r="A20" s="364"/>
      <c r="B20" s="358"/>
      <c r="C20" s="358"/>
      <c r="D20" s="358"/>
      <c r="E20" s="358"/>
      <c r="F20" s="358"/>
      <c r="G20" s="358"/>
      <c r="H20" s="358"/>
      <c r="I20" s="358"/>
      <c r="J20" s="358"/>
      <c r="K20" s="358"/>
      <c r="L20" s="358"/>
      <c r="M20" s="365"/>
      <c r="N20" s="358"/>
      <c r="O20" s="23"/>
    </row>
    <row r="21" spans="1:15" x14ac:dyDescent="0.25">
      <c r="A21" s="353" t="s">
        <v>1273</v>
      </c>
      <c r="B21" s="358"/>
      <c r="C21" s="358"/>
      <c r="D21" s="358"/>
      <c r="E21" s="358"/>
      <c r="F21" s="358"/>
      <c r="G21" s="358"/>
      <c r="H21" s="358"/>
      <c r="I21" s="358"/>
      <c r="J21" s="358"/>
      <c r="K21" s="358"/>
      <c r="L21" s="358"/>
      <c r="M21" s="365"/>
      <c r="N21" s="358"/>
      <c r="O21" s="23"/>
    </row>
    <row r="22" spans="1:15" x14ac:dyDescent="0.25">
      <c r="A22" s="364" t="s">
        <v>1274</v>
      </c>
      <c r="B22" s="358">
        <f>5290410-48365-461575</f>
        <v>4780470</v>
      </c>
      <c r="C22" s="358">
        <f>4901528-30310-351588</f>
        <v>4519630</v>
      </c>
      <c r="D22" s="358">
        <f>5173988-33105-425675</f>
        <v>4715208</v>
      </c>
      <c r="E22" s="358">
        <v>4492869</v>
      </c>
      <c r="F22" s="358">
        <f>4884834-23541-339999</f>
        <v>4521294</v>
      </c>
      <c r="G22" s="358">
        <f>4943934-26709-352156</f>
        <v>4565069</v>
      </c>
      <c r="H22" s="358"/>
      <c r="I22" s="358"/>
      <c r="J22" s="358"/>
      <c r="K22" s="358"/>
      <c r="L22" s="358"/>
      <c r="M22" s="365"/>
      <c r="N22" s="358">
        <f t="shared" si="0"/>
        <v>27594540</v>
      </c>
      <c r="O22" s="23"/>
    </row>
    <row r="23" spans="1:15" x14ac:dyDescent="0.25">
      <c r="A23" s="364" t="s">
        <v>1275</v>
      </c>
      <c r="B23" s="358">
        <f>150236+132310+58224+46927+865849</f>
        <v>1253546</v>
      </c>
      <c r="C23" s="358">
        <f>150236+132309+58225+46927+865849</f>
        <v>1253546</v>
      </c>
      <c r="D23" s="358">
        <f>150236+132310+58225+46927+865849</f>
        <v>1253547</v>
      </c>
      <c r="E23" s="358">
        <v>1253547</v>
      </c>
      <c r="F23" s="358">
        <f>150236+132310+58225+46927+865849</f>
        <v>1253547</v>
      </c>
      <c r="G23" s="358">
        <f>150236+177481+58225+46927+852814</f>
        <v>1285683</v>
      </c>
      <c r="H23" s="358"/>
      <c r="I23" s="358"/>
      <c r="J23" s="358"/>
      <c r="K23" s="358"/>
      <c r="L23" s="358"/>
      <c r="M23" s="365"/>
      <c r="N23" s="358">
        <f t="shared" si="0"/>
        <v>7553416</v>
      </c>
      <c r="O23" s="23"/>
    </row>
    <row r="24" spans="1:15" x14ac:dyDescent="0.25">
      <c r="A24" s="364" t="s">
        <v>1276</v>
      </c>
      <c r="B24" s="358">
        <v>0</v>
      </c>
      <c r="C24" s="358">
        <v>0</v>
      </c>
      <c r="D24" s="358">
        <v>319425</v>
      </c>
      <c r="E24" s="358">
        <v>0</v>
      </c>
      <c r="F24" s="358">
        <v>0</v>
      </c>
      <c r="G24" s="358">
        <v>311067</v>
      </c>
      <c r="H24" s="358"/>
      <c r="I24" s="358"/>
      <c r="J24" s="358"/>
      <c r="K24" s="358"/>
      <c r="L24" s="358"/>
      <c r="M24" s="365"/>
      <c r="N24" s="358">
        <f t="shared" si="0"/>
        <v>630492</v>
      </c>
      <c r="O24" s="23"/>
    </row>
    <row r="25" spans="1:15" x14ac:dyDescent="0.25">
      <c r="A25" s="364" t="s">
        <v>1277</v>
      </c>
      <c r="B25" s="358">
        <v>1217484</v>
      </c>
      <c r="C25" s="358">
        <v>1254282</v>
      </c>
      <c r="D25" s="358">
        <v>842730</v>
      </c>
      <c r="E25" s="358">
        <v>734156</v>
      </c>
      <c r="F25" s="358">
        <v>575351</v>
      </c>
      <c r="G25" s="358">
        <v>495612</v>
      </c>
      <c r="H25" s="358"/>
      <c r="I25" s="358"/>
      <c r="J25" s="358"/>
      <c r="K25" s="358"/>
      <c r="L25" s="358"/>
      <c r="M25" s="365"/>
      <c r="N25" s="358">
        <f t="shared" si="0"/>
        <v>5119615</v>
      </c>
      <c r="O25" s="23"/>
    </row>
    <row r="26" spans="1:15" x14ac:dyDescent="0.25">
      <c r="A26" s="364" t="s">
        <v>1278</v>
      </c>
      <c r="B26" s="358">
        <v>444630</v>
      </c>
      <c r="C26" s="358">
        <v>521058</v>
      </c>
      <c r="D26" s="358">
        <v>604050</v>
      </c>
      <c r="E26" s="358">
        <v>1128992</v>
      </c>
      <c r="F26" s="358">
        <v>616374</v>
      </c>
      <c r="G26" s="358">
        <v>560665</v>
      </c>
      <c r="H26" s="358"/>
      <c r="I26" s="358"/>
      <c r="J26" s="358"/>
      <c r="K26" s="358"/>
      <c r="L26" s="358"/>
      <c r="M26" s="365"/>
      <c r="N26" s="358">
        <f t="shared" si="0"/>
        <v>3875769</v>
      </c>
      <c r="O26" s="23"/>
    </row>
    <row r="27" spans="1:15" x14ac:dyDescent="0.25">
      <c r="A27" s="364" t="s">
        <v>1279</v>
      </c>
      <c r="B27" s="358">
        <f>11355595-7697130-1469166-97927</f>
        <v>2091372</v>
      </c>
      <c r="C27" s="358">
        <f>11985793-7548516-9849-1058398</f>
        <v>3369030</v>
      </c>
      <c r="D27" s="358">
        <v>3414237</v>
      </c>
      <c r="E27" s="358">
        <v>2835106</v>
      </c>
      <c r="F27" s="358">
        <f>10630775-6966566-51178-1426232</f>
        <v>2186799</v>
      </c>
      <c r="G27" s="358">
        <f>13518344-7218096-40459-1231795</f>
        <v>5027994</v>
      </c>
      <c r="H27" s="358"/>
      <c r="I27" s="358"/>
      <c r="J27" s="358"/>
      <c r="K27" s="358"/>
      <c r="L27" s="358"/>
      <c r="M27" s="365"/>
      <c r="N27" s="358">
        <f t="shared" si="0"/>
        <v>18924538</v>
      </c>
      <c r="O27" s="23"/>
    </row>
    <row r="28" spans="1:15" ht="17.25" x14ac:dyDescent="0.4">
      <c r="A28" s="23"/>
      <c r="B28" s="437">
        <f>SUM(B22:B27)</f>
        <v>9787502</v>
      </c>
      <c r="C28" s="437">
        <f>SUM(C22:C27)</f>
        <v>10917546</v>
      </c>
      <c r="D28" s="437">
        <f t="shared" ref="D28:N28" si="4">SUM(D22:D27)</f>
        <v>11149197</v>
      </c>
      <c r="E28" s="437">
        <f t="shared" si="4"/>
        <v>10444670</v>
      </c>
      <c r="F28" s="437">
        <f t="shared" si="4"/>
        <v>9153365</v>
      </c>
      <c r="G28" s="437">
        <f t="shared" si="4"/>
        <v>12246090</v>
      </c>
      <c r="H28" s="437">
        <f t="shared" si="4"/>
        <v>0</v>
      </c>
      <c r="I28" s="437">
        <f t="shared" si="4"/>
        <v>0</v>
      </c>
      <c r="J28" s="437">
        <f t="shared" si="4"/>
        <v>0</v>
      </c>
      <c r="K28" s="437">
        <f t="shared" si="4"/>
        <v>0</v>
      </c>
      <c r="L28" s="437">
        <f t="shared" si="4"/>
        <v>0</v>
      </c>
      <c r="M28" s="437">
        <f t="shared" si="4"/>
        <v>0</v>
      </c>
      <c r="N28" s="437">
        <f t="shared" si="4"/>
        <v>63698370</v>
      </c>
      <c r="O28" s="23"/>
    </row>
    <row r="29" spans="1:15" x14ac:dyDescent="0.25">
      <c r="A29" s="23"/>
      <c r="B29" s="23"/>
      <c r="C29" s="23"/>
      <c r="D29" s="23"/>
      <c r="E29" s="23"/>
      <c r="F29" s="23"/>
      <c r="G29" s="23"/>
      <c r="H29" s="23"/>
      <c r="I29" s="23"/>
      <c r="J29" s="23"/>
      <c r="K29" s="23"/>
      <c r="L29" s="23"/>
      <c r="M29" s="148"/>
      <c r="N29" s="23"/>
      <c r="O29" s="23"/>
    </row>
    <row r="30" spans="1:15" x14ac:dyDescent="0.25">
      <c r="A30" s="352" t="s">
        <v>1280</v>
      </c>
      <c r="B30" s="23"/>
      <c r="C30" s="23"/>
      <c r="D30" s="23"/>
      <c r="E30" s="23"/>
      <c r="F30" s="23"/>
      <c r="G30" s="23"/>
      <c r="H30" s="23"/>
      <c r="I30" s="23"/>
      <c r="J30" s="23"/>
      <c r="K30" s="23"/>
      <c r="L30" s="23"/>
      <c r="M30" s="148"/>
      <c r="N30" s="23"/>
      <c r="O30" s="23"/>
    </row>
    <row r="31" spans="1:15" x14ac:dyDescent="0.25">
      <c r="A31" s="23" t="s">
        <v>1281</v>
      </c>
      <c r="B31" s="358">
        <f>706795+2222825</f>
        <v>2929620</v>
      </c>
      <c r="C31" s="358">
        <f>3257009+4191415</f>
        <v>7448424</v>
      </c>
      <c r="D31" s="358">
        <f>7121326+1035439</f>
        <v>8156765</v>
      </c>
      <c r="E31" s="358">
        <v>676457</v>
      </c>
      <c r="F31" s="358">
        <f>9257642+1990677</f>
        <v>11248319</v>
      </c>
      <c r="G31" s="358">
        <f>18116121+1546063</f>
        <v>19662184</v>
      </c>
      <c r="H31" s="358"/>
      <c r="I31" s="358"/>
      <c r="J31" s="358"/>
      <c r="K31" s="358"/>
      <c r="L31" s="358"/>
      <c r="M31" s="365"/>
      <c r="N31" s="358">
        <f>SUM(B31:M31)</f>
        <v>50121769</v>
      </c>
      <c r="O31" s="23"/>
    </row>
    <row r="32" spans="1:15" x14ac:dyDescent="0.25">
      <c r="A32" s="23" t="s">
        <v>1282</v>
      </c>
      <c r="B32" s="358">
        <v>0</v>
      </c>
      <c r="C32" s="358">
        <v>0</v>
      </c>
      <c r="D32" s="358">
        <v>221229</v>
      </c>
      <c r="E32" s="358">
        <v>0</v>
      </c>
      <c r="F32" s="358">
        <v>0</v>
      </c>
      <c r="G32" s="358"/>
      <c r="H32" s="358">
        <v>0</v>
      </c>
      <c r="I32" s="358">
        <v>0</v>
      </c>
      <c r="J32" s="358"/>
      <c r="K32" s="358">
        <v>0</v>
      </c>
      <c r="L32" s="358">
        <v>0</v>
      </c>
      <c r="M32" s="365"/>
      <c r="N32" s="358">
        <f>SUM(B32:M32)</f>
        <v>221229</v>
      </c>
      <c r="O32" s="23"/>
    </row>
    <row r="33" spans="1:15" x14ac:dyDescent="0.25">
      <c r="A33" s="23" t="s">
        <v>1283</v>
      </c>
      <c r="B33" s="358">
        <f t="shared" ref="B33:M33" si="5">B28+B31+B32</f>
        <v>12717122</v>
      </c>
      <c r="C33" s="358">
        <f t="shared" si="5"/>
        <v>18365970</v>
      </c>
      <c r="D33" s="358">
        <f t="shared" si="5"/>
        <v>19527191</v>
      </c>
      <c r="E33" s="358">
        <f t="shared" si="5"/>
        <v>11121127</v>
      </c>
      <c r="F33" s="358">
        <f t="shared" si="5"/>
        <v>20401684</v>
      </c>
      <c r="G33" s="358">
        <f t="shared" si="5"/>
        <v>31908274</v>
      </c>
      <c r="H33" s="358">
        <f t="shared" si="5"/>
        <v>0</v>
      </c>
      <c r="I33" s="358">
        <f t="shared" si="5"/>
        <v>0</v>
      </c>
      <c r="J33" s="358">
        <f t="shared" si="5"/>
        <v>0</v>
      </c>
      <c r="K33" s="358">
        <f t="shared" si="5"/>
        <v>0</v>
      </c>
      <c r="L33" s="358">
        <f t="shared" si="5"/>
        <v>0</v>
      </c>
      <c r="M33" s="365">
        <f t="shared" si="5"/>
        <v>0</v>
      </c>
      <c r="N33" s="358">
        <f>SUM(B33:M33)</f>
        <v>114041368</v>
      </c>
      <c r="O33" s="23"/>
    </row>
    <row r="34" spans="1:15" x14ac:dyDescent="0.25">
      <c r="A34" s="23" t="s">
        <v>1284</v>
      </c>
      <c r="B34" s="358">
        <f>B19-B33</f>
        <v>72590952</v>
      </c>
      <c r="C34" s="358">
        <f t="shared" ref="C34:L34" si="6">C19-C33</f>
        <v>-14058970</v>
      </c>
      <c r="D34" s="358">
        <f t="shared" si="6"/>
        <v>-17008649</v>
      </c>
      <c r="E34" s="358">
        <f t="shared" si="6"/>
        <v>-8637423</v>
      </c>
      <c r="F34" s="358">
        <f t="shared" si="6"/>
        <v>-18619979</v>
      </c>
      <c r="G34" s="358">
        <f t="shared" si="6"/>
        <v>-7663849</v>
      </c>
      <c r="H34" s="358">
        <f t="shared" si="6"/>
        <v>0</v>
      </c>
      <c r="I34" s="358">
        <f t="shared" si="6"/>
        <v>0</v>
      </c>
      <c r="J34" s="358">
        <f t="shared" si="6"/>
        <v>0</v>
      </c>
      <c r="K34" s="358">
        <f t="shared" si="6"/>
        <v>0</v>
      </c>
      <c r="L34" s="358">
        <f t="shared" si="6"/>
        <v>0</v>
      </c>
      <c r="M34" s="365">
        <f>M31-M33</f>
        <v>0</v>
      </c>
      <c r="N34" s="358">
        <f>SUM(B34:M34)</f>
        <v>6602082</v>
      </c>
      <c r="O34" s="23"/>
    </row>
    <row r="35" spans="1:15" x14ac:dyDescent="0.25">
      <c r="A35" s="23"/>
      <c r="B35" s="23"/>
      <c r="C35" s="23"/>
      <c r="D35" s="23"/>
      <c r="E35" s="23"/>
      <c r="F35" s="23"/>
      <c r="G35" s="23"/>
      <c r="H35" s="23"/>
      <c r="I35" s="23"/>
      <c r="J35" s="23"/>
      <c r="K35" s="23"/>
      <c r="L35" s="23"/>
      <c r="M35" s="148"/>
      <c r="N35" s="23"/>
      <c r="O35" s="23"/>
    </row>
    <row r="36" spans="1:15" x14ac:dyDescent="0.25">
      <c r="A36" s="23"/>
      <c r="B36" s="23"/>
      <c r="C36" s="23"/>
      <c r="D36" s="23"/>
      <c r="E36" s="23"/>
      <c r="F36" s="23"/>
      <c r="G36" s="23"/>
      <c r="H36" s="23"/>
      <c r="I36" s="23"/>
      <c r="J36" s="23"/>
      <c r="K36" s="23"/>
      <c r="L36" s="23"/>
      <c r="M36" s="148"/>
      <c r="N36" s="23"/>
      <c r="O36" s="23"/>
    </row>
  </sheetData>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opLeftCell="A30" workbookViewId="0">
      <selection activeCell="F52" sqref="F52"/>
    </sheetView>
  </sheetViews>
  <sheetFormatPr defaultRowHeight="15" x14ac:dyDescent="0.25"/>
  <cols>
    <col min="1" max="1" width="20" customWidth="1"/>
    <col min="2" max="2" width="19.5703125" customWidth="1"/>
    <col min="3" max="3" width="24.28515625" customWidth="1"/>
  </cols>
  <sheetData>
    <row r="1" spans="1:4" ht="18" x14ac:dyDescent="0.4">
      <c r="A1" s="438" t="s">
        <v>1310</v>
      </c>
      <c r="B1" s="439"/>
      <c r="C1" s="440"/>
      <c r="D1" s="383"/>
    </row>
    <row r="2" spans="1:4" x14ac:dyDescent="0.25">
      <c r="A2" s="23"/>
      <c r="B2" s="23"/>
      <c r="C2" s="23"/>
      <c r="D2" s="383"/>
    </row>
    <row r="3" spans="1:4" x14ac:dyDescent="0.25">
      <c r="A3" s="365" t="s">
        <v>1285</v>
      </c>
      <c r="B3" s="387">
        <v>18645604.149999999</v>
      </c>
      <c r="C3" s="23"/>
      <c r="D3" s="383"/>
    </row>
    <row r="4" spans="1:4" x14ac:dyDescent="0.25">
      <c r="A4" s="364" t="s">
        <v>1286</v>
      </c>
      <c r="B4" s="387">
        <v>31189798.149999999</v>
      </c>
      <c r="C4" s="23"/>
      <c r="D4" s="383"/>
    </row>
    <row r="5" spans="1:4" x14ac:dyDescent="0.25">
      <c r="A5" s="365" t="s">
        <v>1148</v>
      </c>
      <c r="B5" s="387">
        <v>0</v>
      </c>
      <c r="C5" s="23"/>
      <c r="D5" s="383"/>
    </row>
    <row r="6" spans="1:4" ht="15.75" thickBot="1" x14ac:dyDescent="0.3">
      <c r="A6" s="441" t="s">
        <v>7</v>
      </c>
      <c r="B6" s="442">
        <f>SUM(B3:B5)</f>
        <v>49835402.299999997</v>
      </c>
      <c r="C6" s="23"/>
      <c r="D6" s="383"/>
    </row>
    <row r="7" spans="1:4" ht="15.75" thickTop="1" x14ac:dyDescent="0.25">
      <c r="A7" s="23"/>
      <c r="B7" s="23"/>
      <c r="C7" s="23"/>
      <c r="D7" s="383"/>
    </row>
    <row r="8" spans="1:4" x14ac:dyDescent="0.25">
      <c r="A8" s="23" t="s">
        <v>1287</v>
      </c>
      <c r="B8" s="23"/>
      <c r="C8" s="23"/>
      <c r="D8" s="383"/>
    </row>
    <row r="9" spans="1:4" x14ac:dyDescent="0.25">
      <c r="A9" s="23" t="s">
        <v>1288</v>
      </c>
      <c r="B9" s="23"/>
      <c r="C9" s="23"/>
      <c r="D9" s="383"/>
    </row>
    <row r="10" spans="1:4" x14ac:dyDescent="0.25">
      <c r="A10" s="23" t="s">
        <v>1289</v>
      </c>
      <c r="B10" s="23"/>
      <c r="C10" s="23"/>
      <c r="D10" s="383"/>
    </row>
    <row r="11" spans="1:4" x14ac:dyDescent="0.25">
      <c r="A11" s="23" t="s">
        <v>1290</v>
      </c>
      <c r="B11" s="23"/>
      <c r="C11" s="23"/>
      <c r="D11" s="383"/>
    </row>
    <row r="12" spans="1:4" x14ac:dyDescent="0.25">
      <c r="A12" s="23" t="s">
        <v>1291</v>
      </c>
      <c r="B12" s="23"/>
      <c r="C12" s="23"/>
      <c r="D12" s="383"/>
    </row>
    <row r="13" spans="1:4" x14ac:dyDescent="0.25">
      <c r="A13" s="23"/>
      <c r="B13" s="23"/>
      <c r="C13" s="23"/>
      <c r="D13" s="383"/>
    </row>
    <row r="14" spans="1:4" ht="15.75" x14ac:dyDescent="0.25">
      <c r="A14" s="351" t="s">
        <v>1292</v>
      </c>
      <c r="B14" s="23"/>
      <c r="C14" s="23"/>
      <c r="D14" s="383"/>
    </row>
    <row r="15" spans="1:4" x14ac:dyDescent="0.25">
      <c r="A15" s="23"/>
      <c r="B15" s="23"/>
      <c r="C15" s="23"/>
      <c r="D15" s="383"/>
    </row>
    <row r="16" spans="1:4" x14ac:dyDescent="0.25">
      <c r="A16" s="23" t="s">
        <v>1293</v>
      </c>
      <c r="B16" s="23"/>
      <c r="C16" s="23"/>
      <c r="D16" s="383"/>
    </row>
    <row r="17" spans="1:4" x14ac:dyDescent="0.25">
      <c r="A17" s="352" t="s">
        <v>1294</v>
      </c>
      <c r="B17" s="23"/>
      <c r="C17" s="23"/>
      <c r="D17" s="383"/>
    </row>
    <row r="18" spans="1:4" x14ac:dyDescent="0.25">
      <c r="A18" s="352" t="s">
        <v>1295</v>
      </c>
      <c r="B18" s="23"/>
      <c r="C18" s="23"/>
      <c r="D18" s="383"/>
    </row>
    <row r="19" spans="1:4" x14ac:dyDescent="0.25">
      <c r="A19" s="352" t="s">
        <v>1296</v>
      </c>
      <c r="B19" s="23"/>
      <c r="C19" s="23"/>
      <c r="D19" s="383"/>
    </row>
    <row r="20" spans="1:4" x14ac:dyDescent="0.25">
      <c r="A20" s="352" t="s">
        <v>1297</v>
      </c>
      <c r="B20" s="23"/>
      <c r="C20" s="23"/>
      <c r="D20" s="383"/>
    </row>
    <row r="21" spans="1:4" x14ac:dyDescent="0.25">
      <c r="A21" s="352" t="s">
        <v>1298</v>
      </c>
      <c r="B21" s="23"/>
      <c r="C21" s="23"/>
      <c r="D21" s="383"/>
    </row>
    <row r="22" spans="1:4" x14ac:dyDescent="0.25">
      <c r="A22" s="148" t="s">
        <v>1299</v>
      </c>
      <c r="B22" s="148"/>
      <c r="C22" s="13"/>
      <c r="D22" s="443"/>
    </row>
    <row r="23" spans="1:4" x14ac:dyDescent="0.25">
      <c r="A23" s="444"/>
      <c r="B23" s="148"/>
      <c r="C23" s="13"/>
      <c r="D23" s="443"/>
    </row>
    <row r="24" spans="1:4" x14ac:dyDescent="0.25">
      <c r="A24" s="23" t="s">
        <v>1300</v>
      </c>
      <c r="B24" s="23"/>
      <c r="C24" s="23"/>
      <c r="D24" s="383"/>
    </row>
    <row r="25" spans="1:4" x14ac:dyDescent="0.25">
      <c r="A25" s="23" t="s">
        <v>1301</v>
      </c>
      <c r="B25" s="23"/>
      <c r="C25" s="23"/>
      <c r="D25" s="383"/>
    </row>
    <row r="26" spans="1:4" x14ac:dyDescent="0.25">
      <c r="A26" s="23" t="s">
        <v>1302</v>
      </c>
      <c r="B26" s="23"/>
      <c r="C26" s="23"/>
      <c r="D26" s="383"/>
    </row>
    <row r="27" spans="1:4" x14ac:dyDescent="0.25">
      <c r="A27" s="23"/>
      <c r="B27" s="23"/>
      <c r="C27" s="23"/>
      <c r="D27" s="23"/>
    </row>
    <row r="28" spans="1:4" ht="15.75" x14ac:dyDescent="0.25">
      <c r="A28" s="351" t="s">
        <v>1303</v>
      </c>
      <c r="B28" s="405"/>
      <c r="C28" s="23"/>
      <c r="D28" s="23"/>
    </row>
    <row r="29" spans="1:4" x14ac:dyDescent="0.25">
      <c r="A29" s="23"/>
      <c r="B29" s="23"/>
      <c r="C29" s="23"/>
      <c r="D29" s="23"/>
    </row>
    <row r="30" spans="1:4" x14ac:dyDescent="0.25">
      <c r="A30" s="353" t="s">
        <v>1304</v>
      </c>
      <c r="B30" s="353" t="s">
        <v>1305</v>
      </c>
      <c r="C30" s="23"/>
      <c r="D30" s="23"/>
    </row>
    <row r="31" spans="1:4" x14ac:dyDescent="0.25">
      <c r="A31" s="364" t="s">
        <v>1248</v>
      </c>
      <c r="B31" s="358">
        <v>18379584</v>
      </c>
      <c r="C31" s="23"/>
      <c r="D31" s="23"/>
    </row>
    <row r="32" spans="1:4" x14ac:dyDescent="0.25">
      <c r="A32" s="364" t="s">
        <v>1249</v>
      </c>
      <c r="B32" s="358">
        <v>21630960</v>
      </c>
      <c r="C32" s="23"/>
      <c r="D32" s="23"/>
    </row>
    <row r="33" spans="1:4" x14ac:dyDescent="0.25">
      <c r="A33" s="364" t="s">
        <v>1250</v>
      </c>
      <c r="B33" s="387">
        <v>23147026</v>
      </c>
      <c r="C33" s="23"/>
      <c r="D33" s="23"/>
    </row>
    <row r="34" spans="1:4" x14ac:dyDescent="0.25">
      <c r="A34" s="364" t="s">
        <v>1251</v>
      </c>
      <c r="B34" s="358">
        <v>14609080</v>
      </c>
      <c r="C34" s="23"/>
      <c r="D34" s="23"/>
    </row>
    <row r="35" spans="1:4" x14ac:dyDescent="0.25">
      <c r="A35" s="364" t="s">
        <v>1252</v>
      </c>
      <c r="B35" s="358">
        <v>22497709</v>
      </c>
      <c r="C35" s="23"/>
      <c r="D35" s="23"/>
    </row>
    <row r="36" spans="1:4" x14ac:dyDescent="0.25">
      <c r="A36" s="364" t="s">
        <v>1253</v>
      </c>
      <c r="B36" s="358">
        <v>37152539.359999999</v>
      </c>
      <c r="C36" s="23"/>
      <c r="D36" s="23"/>
    </row>
    <row r="37" spans="1:4" x14ac:dyDescent="0.25">
      <c r="A37" s="364" t="s">
        <v>1254</v>
      </c>
      <c r="B37" s="387"/>
      <c r="C37" s="23"/>
      <c r="D37" s="23"/>
    </row>
    <row r="38" spans="1:4" x14ac:dyDescent="0.25">
      <c r="A38" s="364" t="s">
        <v>1255</v>
      </c>
      <c r="B38" s="358"/>
      <c r="C38" s="23"/>
      <c r="D38" s="23"/>
    </row>
    <row r="39" spans="1:4" x14ac:dyDescent="0.25">
      <c r="A39" s="364" t="s">
        <v>1256</v>
      </c>
      <c r="B39" s="358"/>
      <c r="C39" s="23"/>
      <c r="D39" s="23"/>
    </row>
    <row r="40" spans="1:4" x14ac:dyDescent="0.25">
      <c r="A40" s="364" t="s">
        <v>1257</v>
      </c>
      <c r="B40" s="358"/>
      <c r="C40" s="23"/>
      <c r="D40" s="23"/>
    </row>
    <row r="41" spans="1:4" x14ac:dyDescent="0.25">
      <c r="A41" s="364" t="s">
        <v>1258</v>
      </c>
      <c r="B41" s="358"/>
      <c r="C41" s="23"/>
      <c r="D41" s="23"/>
    </row>
    <row r="42" spans="1:4" x14ac:dyDescent="0.25">
      <c r="A42" s="364" t="s">
        <v>1259</v>
      </c>
      <c r="B42" s="358"/>
      <c r="C42" s="23"/>
      <c r="D42" s="23"/>
    </row>
    <row r="43" spans="1:4" ht="19.5" thickBot="1" x14ac:dyDescent="0.35">
      <c r="A43" s="445" t="s">
        <v>1306</v>
      </c>
      <c r="B43" s="445"/>
      <c r="C43" s="446">
        <f>SUM(B31:B42)</f>
        <v>137416898.36000001</v>
      </c>
      <c r="D43" s="23"/>
    </row>
    <row r="44" spans="1:4" ht="15.75" thickTop="1" x14ac:dyDescent="0.25">
      <c r="A44" s="23"/>
      <c r="B44" s="23"/>
      <c r="C44" s="23"/>
      <c r="D44" s="23"/>
    </row>
    <row r="45" spans="1:4" ht="15.75" x14ac:dyDescent="0.25">
      <c r="A45" s="351" t="s">
        <v>1307</v>
      </c>
      <c r="B45" s="23"/>
      <c r="C45" s="23"/>
      <c r="D45" s="23"/>
    </row>
    <row r="46" spans="1:4" x14ac:dyDescent="0.25">
      <c r="A46" s="23"/>
      <c r="B46" s="23"/>
      <c r="C46" s="23"/>
      <c r="D46" s="23"/>
    </row>
    <row r="47" spans="1:4" x14ac:dyDescent="0.25">
      <c r="A47" s="13" t="s">
        <v>1308</v>
      </c>
      <c r="B47" s="13"/>
      <c r="C47" s="13"/>
      <c r="D47" s="23"/>
    </row>
    <row r="48" spans="1:4" x14ac:dyDescent="0.25">
      <c r="A48" s="13" t="s">
        <v>1311</v>
      </c>
      <c r="B48" s="13"/>
      <c r="C48" s="13"/>
      <c r="D48" s="23"/>
    </row>
    <row r="49" spans="1:4" x14ac:dyDescent="0.25">
      <c r="A49" s="13" t="s">
        <v>1309</v>
      </c>
      <c r="B49" s="13"/>
      <c r="C49" s="13"/>
      <c r="D49" s="23"/>
    </row>
    <row r="50" spans="1:4" x14ac:dyDescent="0.25">
      <c r="A50" s="23"/>
      <c r="B50" s="23"/>
      <c r="C50" s="23"/>
      <c r="D50" s="23"/>
    </row>
  </sheetData>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24" workbookViewId="0">
      <selection activeCell="F52" sqref="F52"/>
    </sheetView>
  </sheetViews>
  <sheetFormatPr defaultRowHeight="15" x14ac:dyDescent="0.25"/>
  <cols>
    <col min="1" max="1" width="17.7109375" customWidth="1"/>
    <col min="2" max="2" width="12.42578125" customWidth="1"/>
    <col min="3" max="3" width="10.7109375" customWidth="1"/>
    <col min="4" max="4" width="12" customWidth="1"/>
    <col min="5" max="5" width="19.85546875" customWidth="1"/>
    <col min="6" max="6" width="16.28515625" customWidth="1"/>
    <col min="7" max="7" width="17.85546875" customWidth="1"/>
  </cols>
  <sheetData>
    <row r="1" spans="1:8" ht="15.75" x14ac:dyDescent="0.25">
      <c r="A1" s="351" t="s">
        <v>1312</v>
      </c>
      <c r="B1" s="351"/>
      <c r="C1" s="23"/>
      <c r="D1" s="23"/>
      <c r="E1" s="23"/>
      <c r="F1" s="23"/>
      <c r="G1" s="23"/>
      <c r="H1" s="23"/>
    </row>
    <row r="2" spans="1:8" x14ac:dyDescent="0.25">
      <c r="A2" s="23"/>
      <c r="B2" s="23"/>
      <c r="C2" s="23"/>
      <c r="D2" s="23"/>
      <c r="E2" s="23"/>
      <c r="F2" s="23"/>
      <c r="G2" s="23"/>
      <c r="H2" s="23"/>
    </row>
    <row r="3" spans="1:8" x14ac:dyDescent="0.25">
      <c r="A3" s="447" t="s">
        <v>1313</v>
      </c>
      <c r="B3" s="448"/>
      <c r="C3" s="448"/>
      <c r="D3" s="448"/>
      <c r="E3" s="365">
        <f>[6]Income!C21</f>
        <v>12719576</v>
      </c>
      <c r="F3" s="23"/>
      <c r="G3" s="23"/>
      <c r="H3" s="23"/>
    </row>
    <row r="4" spans="1:8" x14ac:dyDescent="0.25">
      <c r="A4" s="447" t="s">
        <v>1314</v>
      </c>
      <c r="B4" s="448"/>
      <c r="C4" s="448"/>
      <c r="D4" s="448"/>
      <c r="E4" s="365">
        <f>+[6]Income!D7+[6]Income!D9+[6]Income!D10</f>
        <v>8166139</v>
      </c>
      <c r="F4" s="23"/>
      <c r="G4" s="23"/>
      <c r="H4" s="23"/>
    </row>
    <row r="5" spans="1:8" x14ac:dyDescent="0.25">
      <c r="A5" s="447" t="s">
        <v>1315</v>
      </c>
      <c r="B5" s="448"/>
      <c r="C5" s="449"/>
      <c r="D5" s="448"/>
      <c r="E5" s="365">
        <f>E3-E4</f>
        <v>4553437</v>
      </c>
      <c r="F5" s="23"/>
      <c r="G5" s="23"/>
      <c r="H5" s="23"/>
    </row>
    <row r="6" spans="1:8" x14ac:dyDescent="0.25">
      <c r="A6" s="450"/>
      <c r="B6" s="29"/>
      <c r="C6" s="29"/>
      <c r="D6" s="29"/>
      <c r="E6" s="451"/>
      <c r="F6" s="23"/>
      <c r="G6" s="23"/>
      <c r="H6" s="23"/>
    </row>
    <row r="7" spans="1:8" x14ac:dyDescent="0.25">
      <c r="A7" s="452" t="s">
        <v>1316</v>
      </c>
      <c r="B7" s="453"/>
      <c r="C7" s="453"/>
      <c r="D7" s="453"/>
      <c r="E7" s="387">
        <f>G34</f>
        <v>2059979</v>
      </c>
      <c r="F7" s="23"/>
      <c r="G7" s="23"/>
      <c r="H7" s="23"/>
    </row>
    <row r="8" spans="1:8" x14ac:dyDescent="0.25">
      <c r="A8" s="403"/>
      <c r="B8" s="403"/>
      <c r="C8" s="403"/>
      <c r="D8" s="403"/>
      <c r="E8" s="369"/>
      <c r="F8" s="23"/>
      <c r="G8" s="23"/>
      <c r="H8" s="23"/>
    </row>
    <row r="9" spans="1:8" x14ac:dyDescent="0.25">
      <c r="A9" s="23"/>
      <c r="B9" s="23"/>
      <c r="C9" s="23"/>
      <c r="D9" s="23"/>
      <c r="E9" s="23"/>
      <c r="F9" s="23"/>
      <c r="G9" s="23"/>
      <c r="H9" s="23"/>
    </row>
    <row r="10" spans="1:8" x14ac:dyDescent="0.25">
      <c r="A10" s="454" t="s">
        <v>1317</v>
      </c>
      <c r="B10" s="455" t="s">
        <v>1318</v>
      </c>
      <c r="C10" s="455" t="s">
        <v>1319</v>
      </c>
      <c r="D10" s="455" t="s">
        <v>1320</v>
      </c>
      <c r="E10" s="455" t="s">
        <v>1321</v>
      </c>
      <c r="F10" s="455" t="s">
        <v>1322</v>
      </c>
      <c r="G10" s="454" t="s">
        <v>1185</v>
      </c>
      <c r="H10" s="23"/>
    </row>
    <row r="11" spans="1:8" x14ac:dyDescent="0.25">
      <c r="A11" s="456"/>
      <c r="B11" s="457" t="s">
        <v>1323</v>
      </c>
      <c r="C11" s="457" t="s">
        <v>1323</v>
      </c>
      <c r="D11" s="457" t="s">
        <v>1323</v>
      </c>
      <c r="E11" s="457" t="s">
        <v>1323</v>
      </c>
      <c r="F11" s="457" t="s">
        <v>1323</v>
      </c>
      <c r="G11" s="456"/>
      <c r="H11" s="23"/>
    </row>
    <row r="12" spans="1:8" x14ac:dyDescent="0.25">
      <c r="A12" s="357" t="s">
        <v>1324</v>
      </c>
      <c r="B12" s="458"/>
      <c r="C12" s="458"/>
      <c r="D12" s="458"/>
      <c r="E12" s="458"/>
      <c r="F12" s="458"/>
      <c r="G12" s="459"/>
      <c r="H12" s="23"/>
    </row>
    <row r="13" spans="1:8" x14ac:dyDescent="0.25">
      <c r="A13" s="460" t="s">
        <v>1325</v>
      </c>
      <c r="B13" s="461"/>
      <c r="C13" s="461"/>
      <c r="D13" s="461"/>
      <c r="E13" s="461"/>
      <c r="F13" s="461"/>
      <c r="G13" s="462"/>
      <c r="H13" s="23"/>
    </row>
    <row r="14" spans="1:8" x14ac:dyDescent="0.25">
      <c r="A14" s="463" t="s">
        <v>1326</v>
      </c>
      <c r="B14" s="464"/>
      <c r="C14" s="464"/>
      <c r="D14" s="464"/>
      <c r="E14" s="464"/>
      <c r="F14" s="464"/>
      <c r="G14" s="465"/>
      <c r="H14" s="23"/>
    </row>
    <row r="15" spans="1:8" x14ac:dyDescent="0.25">
      <c r="A15" s="466" t="s">
        <v>1327</v>
      </c>
      <c r="B15" s="459"/>
      <c r="C15" s="459"/>
      <c r="D15" s="459"/>
      <c r="E15" s="459"/>
      <c r="F15" s="459"/>
      <c r="G15" s="467"/>
      <c r="H15" s="23"/>
    </row>
    <row r="16" spans="1:8" x14ac:dyDescent="0.25">
      <c r="A16" s="463" t="s">
        <v>1328</v>
      </c>
      <c r="B16" s="465">
        <v>0</v>
      </c>
      <c r="C16" s="465">
        <v>0</v>
      </c>
      <c r="D16" s="465">
        <v>0</v>
      </c>
      <c r="E16" s="465">
        <v>0</v>
      </c>
      <c r="F16" s="465">
        <v>0</v>
      </c>
      <c r="G16" s="468">
        <f>SUM(B16:F16)</f>
        <v>0</v>
      </c>
      <c r="H16" s="23"/>
    </row>
    <row r="17" spans="1:8" x14ac:dyDescent="0.25">
      <c r="A17" s="466" t="s">
        <v>1329</v>
      </c>
      <c r="B17" s="459"/>
      <c r="C17" s="459"/>
      <c r="D17" s="459"/>
      <c r="E17" s="459"/>
      <c r="F17" s="459"/>
      <c r="G17" s="467">
        <v>0</v>
      </c>
      <c r="H17" s="23"/>
    </row>
    <row r="18" spans="1:8" x14ac:dyDescent="0.25">
      <c r="A18" s="463" t="s">
        <v>1328</v>
      </c>
      <c r="B18" s="469">
        <v>960671</v>
      </c>
      <c r="C18" s="469">
        <v>870489</v>
      </c>
      <c r="D18" s="469">
        <v>933826</v>
      </c>
      <c r="E18" s="469">
        <v>912354</v>
      </c>
      <c r="F18" s="469">
        <v>14148539</v>
      </c>
      <c r="G18" s="468">
        <f>SUM(B18:F18)</f>
        <v>17825879</v>
      </c>
      <c r="H18" s="23"/>
    </row>
    <row r="19" spans="1:8" x14ac:dyDescent="0.25">
      <c r="A19" s="466" t="s">
        <v>1330</v>
      </c>
      <c r="B19" s="459"/>
      <c r="C19" s="459"/>
      <c r="D19" s="459"/>
      <c r="E19" s="459"/>
      <c r="F19" s="459"/>
      <c r="G19" s="467"/>
      <c r="H19" s="23"/>
    </row>
    <row r="20" spans="1:8" x14ac:dyDescent="0.25">
      <c r="A20" s="463" t="s">
        <v>1331</v>
      </c>
      <c r="B20" s="469">
        <v>894096</v>
      </c>
      <c r="C20" s="469">
        <v>734280</v>
      </c>
      <c r="D20" s="469">
        <v>688036</v>
      </c>
      <c r="E20" s="469">
        <v>658193</v>
      </c>
      <c r="F20" s="469">
        <v>22715345</v>
      </c>
      <c r="G20" s="468">
        <f>SUM(B20:F20)</f>
        <v>25689950</v>
      </c>
      <c r="H20" s="470"/>
    </row>
    <row r="21" spans="1:8" x14ac:dyDescent="0.25">
      <c r="A21" s="466" t="s">
        <v>1332</v>
      </c>
      <c r="B21" s="469"/>
      <c r="C21" s="469"/>
      <c r="D21" s="469"/>
      <c r="E21" s="469"/>
      <c r="F21" s="469"/>
      <c r="G21" s="467"/>
      <c r="H21" s="23"/>
    </row>
    <row r="22" spans="1:8" x14ac:dyDescent="0.25">
      <c r="A22" s="463" t="s">
        <v>1333</v>
      </c>
      <c r="B22" s="469"/>
      <c r="C22" s="469"/>
      <c r="D22" s="469"/>
      <c r="E22" s="469"/>
      <c r="F22" s="469"/>
      <c r="G22" s="468"/>
      <c r="H22" s="23"/>
    </row>
    <row r="23" spans="1:8" x14ac:dyDescent="0.25">
      <c r="A23" s="466" t="s">
        <v>1163</v>
      </c>
      <c r="B23" s="469"/>
      <c r="C23" s="469"/>
      <c r="D23" s="469"/>
      <c r="E23" s="469"/>
      <c r="F23" s="469"/>
      <c r="G23" s="467"/>
      <c r="H23" s="23"/>
    </row>
    <row r="24" spans="1:8" x14ac:dyDescent="0.25">
      <c r="A24" s="463" t="s">
        <v>1328</v>
      </c>
      <c r="B24" s="469">
        <v>483435</v>
      </c>
      <c r="C24" s="469">
        <v>488535</v>
      </c>
      <c r="D24" s="469">
        <v>464094</v>
      </c>
      <c r="E24" s="469">
        <v>456602</v>
      </c>
      <c r="F24" s="469">
        <v>23522215</v>
      </c>
      <c r="G24" s="468">
        <f>SUM(B24:F24)</f>
        <v>25414881</v>
      </c>
      <c r="H24" s="23"/>
    </row>
    <row r="25" spans="1:8" x14ac:dyDescent="0.25">
      <c r="A25" s="466" t="s">
        <v>1334</v>
      </c>
      <c r="B25" s="469"/>
      <c r="C25" s="469"/>
      <c r="D25" s="469"/>
      <c r="E25" s="469"/>
      <c r="F25" s="469"/>
      <c r="G25" s="467"/>
      <c r="H25" s="23"/>
    </row>
    <row r="26" spans="1:8" x14ac:dyDescent="0.25">
      <c r="A26" s="463" t="s">
        <v>1335</v>
      </c>
      <c r="B26" s="469"/>
      <c r="C26" s="469"/>
      <c r="D26" s="469"/>
      <c r="E26" s="469"/>
      <c r="F26" s="469"/>
      <c r="G26" s="468"/>
      <c r="H26" s="23"/>
    </row>
    <row r="27" spans="1:8" x14ac:dyDescent="0.25">
      <c r="A27" s="471" t="s">
        <v>1336</v>
      </c>
      <c r="B27" s="469"/>
      <c r="C27" s="469"/>
      <c r="D27" s="469"/>
      <c r="E27" s="469"/>
      <c r="F27" s="469"/>
      <c r="G27" s="469"/>
      <c r="H27" s="23"/>
    </row>
    <row r="28" spans="1:8" x14ac:dyDescent="0.25">
      <c r="A28" s="471" t="s">
        <v>1337</v>
      </c>
      <c r="B28" s="469">
        <f>17246+37853</f>
        <v>55099</v>
      </c>
      <c r="C28" s="469">
        <f>20520+47536</f>
        <v>68056</v>
      </c>
      <c r="D28" s="469">
        <f>20520+48070</f>
        <v>68590</v>
      </c>
      <c r="E28" s="469">
        <f>20730+48116</f>
        <v>68846</v>
      </c>
      <c r="F28" s="469">
        <f>3638908+11648093</f>
        <v>15287001</v>
      </c>
      <c r="G28" s="468">
        <f>SUM(B28:F28)</f>
        <v>15547592</v>
      </c>
      <c r="H28" s="23"/>
    </row>
    <row r="29" spans="1:8" x14ac:dyDescent="0.25">
      <c r="A29" s="472" t="s">
        <v>1338</v>
      </c>
      <c r="B29" s="473"/>
      <c r="C29" s="474"/>
      <c r="D29" s="474"/>
      <c r="E29" s="474"/>
      <c r="F29" s="474"/>
      <c r="G29" s="473"/>
      <c r="H29" s="23"/>
    </row>
    <row r="30" spans="1:8" x14ac:dyDescent="0.25">
      <c r="A30" s="425" t="s">
        <v>1193</v>
      </c>
      <c r="B30" s="475">
        <f>SUM(B12:B29)</f>
        <v>2393301</v>
      </c>
      <c r="C30" s="476">
        <f>SUM(C16:C29)</f>
        <v>2161360</v>
      </c>
      <c r="D30" s="476">
        <f>SUM(D16:D29)</f>
        <v>2154546</v>
      </c>
      <c r="E30" s="476">
        <f>SUM(E18:E29)</f>
        <v>2095995</v>
      </c>
      <c r="F30" s="476">
        <f>SUM(F18:F28)</f>
        <v>75673100</v>
      </c>
      <c r="G30" s="475">
        <f>SUM(B30:F30)</f>
        <v>84478302</v>
      </c>
      <c r="H30" s="23"/>
    </row>
    <row r="31" spans="1:8" x14ac:dyDescent="0.25">
      <c r="A31" s="466" t="s">
        <v>1324</v>
      </c>
      <c r="B31" s="467"/>
      <c r="C31" s="459"/>
      <c r="D31" s="459"/>
      <c r="E31" s="459"/>
      <c r="F31" s="459"/>
      <c r="G31" s="467"/>
      <c r="H31" s="23"/>
    </row>
    <row r="32" spans="1:8" x14ac:dyDescent="0.25">
      <c r="A32" s="477" t="s">
        <v>1325</v>
      </c>
      <c r="B32" s="478"/>
      <c r="C32" s="462"/>
      <c r="D32" s="462"/>
      <c r="E32" s="462"/>
      <c r="F32" s="462"/>
      <c r="G32" s="478"/>
      <c r="H32" s="23"/>
    </row>
    <row r="33" spans="1:8" x14ac:dyDescent="0.25">
      <c r="A33" s="463" t="s">
        <v>1339</v>
      </c>
      <c r="B33" s="468"/>
      <c r="C33" s="465"/>
      <c r="D33" s="465"/>
      <c r="E33" s="465"/>
      <c r="F33" s="465"/>
      <c r="G33" s="468"/>
      <c r="H33" s="23"/>
    </row>
    <row r="34" spans="1:8" x14ac:dyDescent="0.25">
      <c r="A34" s="471" t="s">
        <v>1340</v>
      </c>
      <c r="B34" s="469">
        <v>76843</v>
      </c>
      <c r="C34" s="469">
        <v>78150</v>
      </c>
      <c r="D34" s="469">
        <v>72829</v>
      </c>
      <c r="E34" s="469">
        <v>61114</v>
      </c>
      <c r="F34" s="469">
        <v>1771043</v>
      </c>
      <c r="G34" s="468">
        <f>SUM(B34:F34)</f>
        <v>2059979</v>
      </c>
      <c r="H34" s="23"/>
    </row>
    <row r="35" spans="1:8" x14ac:dyDescent="0.25">
      <c r="A35" s="471" t="s">
        <v>1341</v>
      </c>
      <c r="B35" s="469">
        <v>506943</v>
      </c>
      <c r="C35" s="469">
        <v>301817</v>
      </c>
      <c r="D35" s="469">
        <v>251423</v>
      </c>
      <c r="E35" s="469">
        <v>249583</v>
      </c>
      <c r="F35" s="469">
        <v>4706561</v>
      </c>
      <c r="G35" s="468">
        <f>SUM(B35:F35)</f>
        <v>6016327</v>
      </c>
      <c r="H35" s="23"/>
    </row>
    <row r="36" spans="1:8" x14ac:dyDescent="0.25">
      <c r="A36" s="471" t="s">
        <v>1342</v>
      </c>
      <c r="B36" s="469">
        <v>1809515</v>
      </c>
      <c r="C36" s="469">
        <v>1781393</v>
      </c>
      <c r="D36" s="469">
        <v>1830294</v>
      </c>
      <c r="E36" s="469">
        <v>1785298</v>
      </c>
      <c r="F36" s="469">
        <v>69195496</v>
      </c>
      <c r="G36" s="468">
        <f>SUM(B36:F36)</f>
        <v>76401996</v>
      </c>
      <c r="H36" s="23"/>
    </row>
    <row r="37" spans="1:8" x14ac:dyDescent="0.25">
      <c r="A37" s="471" t="s">
        <v>1337</v>
      </c>
      <c r="B37" s="469">
        <v>0</v>
      </c>
      <c r="C37" s="469">
        <f>SUM(B37)</f>
        <v>0</v>
      </c>
      <c r="D37" s="469">
        <f>SUM(C37)</f>
        <v>0</v>
      </c>
      <c r="E37" s="469">
        <f>SUM(D37)</f>
        <v>0</v>
      </c>
      <c r="F37" s="469">
        <f>SUM(E37)</f>
        <v>0</v>
      </c>
      <c r="G37" s="469">
        <f>SUM(F37)</f>
        <v>0</v>
      </c>
      <c r="H37" s="23"/>
    </row>
    <row r="38" spans="1:8" x14ac:dyDescent="0.25">
      <c r="A38" s="472" t="s">
        <v>1343</v>
      </c>
      <c r="B38" s="474"/>
      <c r="C38" s="474"/>
      <c r="D38" s="474"/>
      <c r="E38" s="474"/>
      <c r="F38" s="474"/>
      <c r="G38" s="473"/>
      <c r="H38" s="23"/>
    </row>
    <row r="39" spans="1:8" ht="15.75" thickBot="1" x14ac:dyDescent="0.3">
      <c r="A39" s="425" t="s">
        <v>1339</v>
      </c>
      <c r="B39" s="479">
        <f>SUM(B34:B38)</f>
        <v>2393301</v>
      </c>
      <c r="C39" s="479">
        <f>SUM(C34:C38)</f>
        <v>2161360</v>
      </c>
      <c r="D39" s="479">
        <f>SUM(D34:D38)</f>
        <v>2154546</v>
      </c>
      <c r="E39" s="479">
        <f>SUM(E34:E38)</f>
        <v>2095995</v>
      </c>
      <c r="F39" s="479">
        <f>SUM(F34:F38)</f>
        <v>75673100</v>
      </c>
      <c r="G39" s="480">
        <f>SUM(B39:F39)</f>
        <v>84478302</v>
      </c>
      <c r="H39" s="23"/>
    </row>
    <row r="40" spans="1:8" ht="15.75" thickTop="1" x14ac:dyDescent="0.25">
      <c r="A40" s="23"/>
      <c r="B40" s="23"/>
      <c r="C40" s="470"/>
      <c r="D40" s="23"/>
      <c r="E40" s="23"/>
      <c r="F40" s="23"/>
      <c r="G40" s="23"/>
      <c r="H40" s="23"/>
    </row>
    <row r="41" spans="1:8" x14ac:dyDescent="0.25">
      <c r="A41" s="23"/>
      <c r="B41" s="23"/>
      <c r="C41" s="23"/>
      <c r="D41" s="23"/>
      <c r="E41" s="23"/>
      <c r="F41" s="23"/>
      <c r="G41" s="23"/>
      <c r="H41" s="23"/>
    </row>
  </sheetData>
  <dataValidations count="1">
    <dataValidation type="whole" allowBlank="1" showInputMessage="1" showErrorMessage="1" error="Enter a whole number" sqref="B18:F18 B20:F20 B24:F24 B28:F28">
      <formula1>-999999999999</formula1>
      <formula2>999999999999</formula2>
    </dataValidation>
  </dataValidations>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20" workbookViewId="0">
      <selection activeCell="F52" sqref="F52"/>
    </sheetView>
  </sheetViews>
  <sheetFormatPr defaultRowHeight="15" x14ac:dyDescent="0.25"/>
  <cols>
    <col min="2" max="2" width="12.5703125" customWidth="1"/>
    <col min="3" max="3" width="21.85546875" customWidth="1"/>
  </cols>
  <sheetData>
    <row r="1" spans="1:8" ht="15.75" x14ac:dyDescent="0.25">
      <c r="A1" s="481" t="s">
        <v>1344</v>
      </c>
      <c r="B1" s="481"/>
      <c r="C1" s="13"/>
      <c r="D1" s="23"/>
      <c r="E1" s="23"/>
      <c r="F1" s="23"/>
      <c r="G1" s="23"/>
      <c r="H1" s="23"/>
    </row>
    <row r="2" spans="1:8" x14ac:dyDescent="0.25">
      <c r="A2" s="13"/>
      <c r="B2" s="13"/>
      <c r="C2" s="13"/>
      <c r="D2" s="23"/>
      <c r="E2" s="23"/>
      <c r="F2" s="23"/>
      <c r="G2" s="23"/>
      <c r="H2" s="23"/>
    </row>
    <row r="3" spans="1:8" x14ac:dyDescent="0.25">
      <c r="A3" s="148" t="s">
        <v>1345</v>
      </c>
      <c r="B3" s="148"/>
      <c r="C3" s="148"/>
      <c r="D3" s="23"/>
      <c r="E3" s="23"/>
      <c r="F3" s="23"/>
      <c r="G3" s="23"/>
      <c r="H3" s="23"/>
    </row>
    <row r="4" spans="1:8" x14ac:dyDescent="0.25">
      <c r="A4" s="148"/>
      <c r="B4" s="148"/>
      <c r="C4" s="148"/>
      <c r="D4" s="23"/>
      <c r="E4" s="23"/>
      <c r="F4" s="23"/>
      <c r="G4" s="23"/>
      <c r="H4" s="23"/>
    </row>
    <row r="5" spans="1:8" x14ac:dyDescent="0.25">
      <c r="A5" s="482" t="s">
        <v>1346</v>
      </c>
      <c r="B5" s="482" t="s">
        <v>1347</v>
      </c>
      <c r="C5" s="482" t="s">
        <v>1348</v>
      </c>
      <c r="D5" s="23"/>
      <c r="E5" s="23"/>
      <c r="F5" s="23"/>
      <c r="G5" s="23"/>
      <c r="H5" s="23"/>
    </row>
    <row r="6" spans="1:8" x14ac:dyDescent="0.25">
      <c r="A6" s="483">
        <v>1</v>
      </c>
      <c r="B6" s="483">
        <v>0</v>
      </c>
      <c r="C6" s="483">
        <v>0</v>
      </c>
      <c r="D6" s="328"/>
      <c r="E6" s="484"/>
      <c r="F6" s="23"/>
      <c r="G6" s="23"/>
      <c r="H6" s="23"/>
    </row>
    <row r="7" spans="1:8" x14ac:dyDescent="0.25">
      <c r="A7" s="483">
        <v>2</v>
      </c>
      <c r="B7" s="483">
        <v>0</v>
      </c>
      <c r="C7" s="483">
        <v>0</v>
      </c>
      <c r="D7" s="148"/>
      <c r="E7" s="484"/>
      <c r="F7" s="484"/>
      <c r="G7" s="23"/>
      <c r="H7" s="23"/>
    </row>
    <row r="8" spans="1:8" x14ac:dyDescent="0.25">
      <c r="A8" s="483">
        <v>3</v>
      </c>
      <c r="B8" s="483">
        <v>6</v>
      </c>
      <c r="C8" s="483">
        <v>10</v>
      </c>
      <c r="D8" s="148"/>
      <c r="E8" s="23"/>
      <c r="F8" s="23"/>
      <c r="G8" s="23"/>
      <c r="H8" s="23"/>
    </row>
    <row r="9" spans="1:8" x14ac:dyDescent="0.25">
      <c r="A9" s="483">
        <v>4</v>
      </c>
      <c r="B9" s="483">
        <v>9</v>
      </c>
      <c r="C9" s="483">
        <v>15</v>
      </c>
      <c r="D9" s="148"/>
      <c r="E9" s="23"/>
      <c r="F9" s="23"/>
      <c r="G9" s="23"/>
      <c r="H9" s="23"/>
    </row>
    <row r="10" spans="1:8" x14ac:dyDescent="0.25">
      <c r="A10" s="483">
        <v>5</v>
      </c>
      <c r="B10" s="483">
        <v>19</v>
      </c>
      <c r="C10" s="483">
        <v>38</v>
      </c>
      <c r="D10" s="148"/>
      <c r="E10" s="23"/>
      <c r="F10" s="23"/>
      <c r="G10" s="23"/>
      <c r="H10" s="23"/>
    </row>
    <row r="11" spans="1:8" x14ac:dyDescent="0.25">
      <c r="A11" s="483">
        <v>6</v>
      </c>
      <c r="B11" s="483">
        <v>11</v>
      </c>
      <c r="C11" s="483">
        <v>11</v>
      </c>
      <c r="D11" s="148"/>
      <c r="E11" s="23"/>
      <c r="F11" s="23"/>
      <c r="G11" s="23"/>
      <c r="H11" s="23"/>
    </row>
    <row r="12" spans="1:8" x14ac:dyDescent="0.25">
      <c r="A12" s="483">
        <v>7</v>
      </c>
      <c r="B12" s="483">
        <v>0</v>
      </c>
      <c r="C12" s="483">
        <v>0</v>
      </c>
      <c r="D12" s="148"/>
      <c r="E12" s="23"/>
      <c r="F12" s="23"/>
      <c r="G12" s="23"/>
      <c r="H12" s="23"/>
    </row>
    <row r="13" spans="1:8" x14ac:dyDescent="0.25">
      <c r="A13" s="483">
        <v>8</v>
      </c>
      <c r="B13" s="483">
        <v>0</v>
      </c>
      <c r="C13" s="483">
        <v>0</v>
      </c>
      <c r="D13" s="148"/>
      <c r="E13" s="23"/>
      <c r="F13" s="23"/>
      <c r="G13" s="23"/>
      <c r="H13" s="23"/>
    </row>
    <row r="14" spans="1:8" x14ac:dyDescent="0.25">
      <c r="A14" s="483">
        <v>9</v>
      </c>
      <c r="B14" s="483">
        <v>3</v>
      </c>
      <c r="C14" s="483">
        <v>6</v>
      </c>
      <c r="D14" s="148"/>
      <c r="E14" s="23"/>
      <c r="F14" s="23"/>
      <c r="G14" s="23"/>
      <c r="H14" s="23"/>
    </row>
    <row r="15" spans="1:8" x14ac:dyDescent="0.25">
      <c r="A15" s="483">
        <v>10</v>
      </c>
      <c r="B15" s="483">
        <v>9</v>
      </c>
      <c r="C15" s="483">
        <v>14</v>
      </c>
      <c r="D15" s="148"/>
      <c r="E15" s="23"/>
      <c r="F15" s="23"/>
      <c r="G15" s="23"/>
      <c r="H15" s="23"/>
    </row>
    <row r="16" spans="1:8" x14ac:dyDescent="0.25">
      <c r="A16" s="483">
        <v>11</v>
      </c>
      <c r="B16" s="483">
        <v>18</v>
      </c>
      <c r="C16" s="483">
        <v>69</v>
      </c>
      <c r="D16" s="148"/>
      <c r="E16" s="23"/>
      <c r="F16" s="23"/>
      <c r="G16" s="23"/>
      <c r="H16" s="23"/>
    </row>
    <row r="17" spans="1:8" x14ac:dyDescent="0.25">
      <c r="A17" s="483">
        <v>12</v>
      </c>
      <c r="B17" s="483">
        <v>0</v>
      </c>
      <c r="C17" s="483">
        <v>1</v>
      </c>
      <c r="D17" s="148"/>
      <c r="E17" s="23"/>
      <c r="F17" s="23"/>
      <c r="G17" s="23"/>
      <c r="H17" s="23"/>
    </row>
    <row r="18" spans="1:8" x14ac:dyDescent="0.25">
      <c r="A18" s="483">
        <v>13</v>
      </c>
      <c r="B18" s="483">
        <v>10</v>
      </c>
      <c r="C18" s="483">
        <v>25</v>
      </c>
      <c r="D18" s="148"/>
      <c r="E18" s="23"/>
      <c r="F18" s="23"/>
      <c r="G18" s="23"/>
      <c r="H18" s="23"/>
    </row>
    <row r="19" spans="1:8" x14ac:dyDescent="0.25">
      <c r="A19" s="483">
        <v>14</v>
      </c>
      <c r="B19" s="483">
        <v>0</v>
      </c>
      <c r="C19" s="483">
        <v>0</v>
      </c>
      <c r="D19" s="148"/>
      <c r="E19" s="23"/>
      <c r="F19" s="23"/>
      <c r="G19" s="23"/>
      <c r="H19" s="23"/>
    </row>
    <row r="20" spans="1:8" x14ac:dyDescent="0.25">
      <c r="A20" s="483">
        <v>15</v>
      </c>
      <c r="B20" s="483">
        <v>0</v>
      </c>
      <c r="C20" s="483">
        <v>284</v>
      </c>
      <c r="D20" s="148"/>
      <c r="E20" s="23"/>
      <c r="F20" s="23"/>
      <c r="G20" s="23"/>
      <c r="H20" s="23"/>
    </row>
    <row r="21" spans="1:8" x14ac:dyDescent="0.25">
      <c r="A21" s="483">
        <v>16</v>
      </c>
      <c r="B21" s="483"/>
      <c r="C21" s="483">
        <v>0</v>
      </c>
      <c r="D21" s="148"/>
      <c r="E21" s="23"/>
      <c r="F21" s="23"/>
      <c r="G21" s="23"/>
      <c r="H21" s="23"/>
    </row>
    <row r="22" spans="1:8" x14ac:dyDescent="0.25">
      <c r="A22" s="483">
        <v>17</v>
      </c>
      <c r="B22" s="483">
        <v>0</v>
      </c>
      <c r="C22" s="483">
        <v>0</v>
      </c>
      <c r="D22" s="148"/>
      <c r="E22" s="23"/>
      <c r="F22" s="23"/>
      <c r="G22" s="23"/>
      <c r="H22" s="23"/>
    </row>
    <row r="23" spans="1:8" x14ac:dyDescent="0.25">
      <c r="A23" s="483">
        <v>18</v>
      </c>
      <c r="B23" s="483">
        <v>0</v>
      </c>
      <c r="C23" s="483">
        <v>0</v>
      </c>
      <c r="D23" s="148"/>
      <c r="E23" s="23"/>
      <c r="F23" s="23"/>
      <c r="G23" s="23"/>
      <c r="H23" s="23"/>
    </row>
    <row r="24" spans="1:8" x14ac:dyDescent="0.25">
      <c r="A24" s="483">
        <v>19</v>
      </c>
      <c r="B24" s="483">
        <v>0</v>
      </c>
      <c r="C24" s="483">
        <v>4</v>
      </c>
      <c r="D24" s="148"/>
      <c r="E24" s="23"/>
      <c r="F24" s="23"/>
      <c r="G24" s="23"/>
      <c r="H24" s="23"/>
    </row>
    <row r="25" spans="1:8" x14ac:dyDescent="0.25">
      <c r="A25" s="483">
        <v>20</v>
      </c>
      <c r="B25" s="483">
        <v>0</v>
      </c>
      <c r="C25" s="483">
        <v>0</v>
      </c>
      <c r="D25" s="148"/>
      <c r="E25" s="23"/>
      <c r="F25" s="23"/>
      <c r="G25" s="23"/>
      <c r="H25" s="23"/>
    </row>
    <row r="26" spans="1:8" x14ac:dyDescent="0.25">
      <c r="A26" s="483">
        <v>21</v>
      </c>
      <c r="B26" s="483">
        <v>30</v>
      </c>
      <c r="C26" s="483">
        <v>79</v>
      </c>
      <c r="D26" s="148"/>
      <c r="E26" s="23"/>
      <c r="F26" s="23"/>
      <c r="G26" s="23"/>
      <c r="H26" s="23"/>
    </row>
    <row r="27" spans="1:8" x14ac:dyDescent="0.25">
      <c r="A27" s="483">
        <v>22</v>
      </c>
      <c r="B27" s="483">
        <v>45</v>
      </c>
      <c r="C27" s="483">
        <v>67</v>
      </c>
      <c r="D27" s="148"/>
      <c r="E27" s="23"/>
      <c r="F27" s="23"/>
      <c r="G27" s="23"/>
      <c r="H27" s="23"/>
    </row>
    <row r="28" spans="1:8" x14ac:dyDescent="0.25">
      <c r="A28" s="483">
        <v>23</v>
      </c>
      <c r="B28" s="483">
        <v>0</v>
      </c>
      <c r="C28" s="483">
        <v>0</v>
      </c>
      <c r="D28" s="148"/>
      <c r="E28" s="23"/>
      <c r="F28" s="23"/>
      <c r="G28" s="23"/>
      <c r="H28" s="23"/>
    </row>
    <row r="29" spans="1:8" x14ac:dyDescent="0.25">
      <c r="A29" s="483">
        <v>24</v>
      </c>
      <c r="B29" s="483">
        <v>0</v>
      </c>
      <c r="C29" s="483">
        <v>0</v>
      </c>
      <c r="D29" s="148"/>
      <c r="E29" s="23"/>
      <c r="F29" s="23"/>
      <c r="G29" s="23"/>
      <c r="H29" s="23"/>
    </row>
    <row r="30" spans="1:8" x14ac:dyDescent="0.25">
      <c r="A30" s="483">
        <v>25</v>
      </c>
      <c r="B30" s="483">
        <v>0</v>
      </c>
      <c r="C30" s="483">
        <v>0</v>
      </c>
      <c r="D30" s="148"/>
      <c r="E30" s="23"/>
      <c r="F30" s="23"/>
      <c r="G30" s="23"/>
      <c r="H30" s="23"/>
    </row>
    <row r="31" spans="1:8" x14ac:dyDescent="0.25">
      <c r="A31" s="483">
        <v>26</v>
      </c>
      <c r="B31" s="483">
        <v>91</v>
      </c>
      <c r="C31" s="483">
        <v>135</v>
      </c>
      <c r="D31" s="148"/>
      <c r="E31" s="23"/>
      <c r="F31" s="23"/>
      <c r="G31" s="23"/>
      <c r="H31" s="23"/>
    </row>
    <row r="32" spans="1:8" x14ac:dyDescent="0.25">
      <c r="A32" s="483">
        <v>27</v>
      </c>
      <c r="B32" s="483">
        <v>15</v>
      </c>
      <c r="C32" s="483">
        <v>27</v>
      </c>
      <c r="D32" s="148"/>
      <c r="E32" s="23"/>
      <c r="F32" s="23"/>
      <c r="G32" s="23"/>
      <c r="H32" s="23"/>
    </row>
    <row r="33" spans="1:8" x14ac:dyDescent="0.25">
      <c r="A33" s="483">
        <v>28</v>
      </c>
      <c r="B33" s="483">
        <v>0</v>
      </c>
      <c r="C33" s="483">
        <v>0</v>
      </c>
      <c r="D33" s="148"/>
      <c r="E33" s="23"/>
      <c r="F33" s="23"/>
      <c r="G33" s="23"/>
      <c r="H33" s="23"/>
    </row>
    <row r="34" spans="1:8" x14ac:dyDescent="0.25">
      <c r="A34" s="483">
        <v>29</v>
      </c>
      <c r="B34" s="432" t="s">
        <v>1349</v>
      </c>
      <c r="C34" s="471" t="s">
        <v>1350</v>
      </c>
      <c r="D34" s="148"/>
      <c r="E34" s="23"/>
      <c r="F34" s="23"/>
      <c r="G34" s="23"/>
      <c r="H34" s="23"/>
    </row>
    <row r="35" spans="1:8" x14ac:dyDescent="0.25">
      <c r="A35" s="485"/>
      <c r="B35" s="471" t="s">
        <v>1128</v>
      </c>
      <c r="C35" s="471" t="s">
        <v>1187</v>
      </c>
      <c r="D35" s="486" t="s">
        <v>1130</v>
      </c>
      <c r="E35" s="23"/>
      <c r="F35" s="23"/>
      <c r="G35" s="23"/>
      <c r="H35" s="23"/>
    </row>
    <row r="36" spans="1:8" x14ac:dyDescent="0.25">
      <c r="A36" s="471" t="s">
        <v>1351</v>
      </c>
      <c r="B36" s="487">
        <v>796500</v>
      </c>
      <c r="C36" s="487">
        <v>154257</v>
      </c>
      <c r="D36" s="430">
        <f>C36/B36*100</f>
        <v>19.366854990583803</v>
      </c>
      <c r="E36" s="23"/>
      <c r="F36" s="23"/>
      <c r="G36" s="23"/>
      <c r="H36" s="23"/>
    </row>
    <row r="37" spans="1:8" x14ac:dyDescent="0.25">
      <c r="A37" s="23"/>
      <c r="B37" s="23"/>
      <c r="C37" s="23"/>
      <c r="D37" s="23"/>
      <c r="E37" s="23"/>
      <c r="F37" s="23"/>
      <c r="G37" s="23"/>
      <c r="H37" s="23"/>
    </row>
    <row r="38" spans="1:8" x14ac:dyDescent="0.25">
      <c r="A38" s="148" t="s">
        <v>1352</v>
      </c>
      <c r="B38" s="13"/>
      <c r="C38" s="13"/>
      <c r="D38" s="13"/>
      <c r="E38" s="13"/>
      <c r="F38" s="23"/>
      <c r="G38" s="23"/>
      <c r="H38" s="23"/>
    </row>
    <row r="39" spans="1:8" x14ac:dyDescent="0.25">
      <c r="A39" s="23"/>
      <c r="B39" s="23"/>
      <c r="C39" s="23"/>
      <c r="D39" s="23"/>
      <c r="E39" s="23"/>
      <c r="F39" s="23"/>
      <c r="G39" s="23"/>
      <c r="H39" s="23"/>
    </row>
    <row r="40" spans="1:8" x14ac:dyDescent="0.25">
      <c r="A40" s="488" t="s">
        <v>1353</v>
      </c>
      <c r="B40" s="13"/>
      <c r="C40" s="13"/>
      <c r="D40" s="13"/>
      <c r="E40" s="13"/>
      <c r="F40" s="13"/>
      <c r="G40" s="23"/>
      <c r="H40" s="23"/>
    </row>
    <row r="41" spans="1:8" x14ac:dyDescent="0.25">
      <c r="A41" s="23"/>
      <c r="B41" s="23"/>
      <c r="C41" s="23"/>
      <c r="D41" s="23"/>
      <c r="E41" s="23"/>
      <c r="F41" s="23"/>
      <c r="G41" s="23"/>
      <c r="H41" s="23"/>
    </row>
    <row r="42" spans="1:8" x14ac:dyDescent="0.25">
      <c r="A42" s="23" t="s">
        <v>1354</v>
      </c>
      <c r="B42" s="23"/>
      <c r="C42" s="23"/>
      <c r="D42" s="23"/>
      <c r="E42" s="23"/>
      <c r="F42" s="23"/>
      <c r="G42" s="23"/>
      <c r="H42" s="23"/>
    </row>
    <row r="43" spans="1:8" x14ac:dyDescent="0.25">
      <c r="A43" s="13" t="s">
        <v>1355</v>
      </c>
      <c r="B43" s="13"/>
      <c r="C43" s="13"/>
      <c r="D43" s="13"/>
      <c r="E43" s="13"/>
      <c r="F43" s="13"/>
      <c r="G43" s="23"/>
      <c r="H43" s="23"/>
    </row>
    <row r="44" spans="1:8" x14ac:dyDescent="0.25">
      <c r="A44" s="23"/>
      <c r="B44" s="23"/>
      <c r="C44" s="23"/>
      <c r="D44" s="23"/>
      <c r="E44" s="23"/>
      <c r="F44" s="23"/>
      <c r="G44" s="23"/>
      <c r="H44" s="23"/>
    </row>
    <row r="45" spans="1:8" x14ac:dyDescent="0.25">
      <c r="A45" s="13" t="s">
        <v>1356</v>
      </c>
      <c r="B45" s="13"/>
      <c r="C45" s="13"/>
      <c r="D45" s="13"/>
      <c r="E45" s="13"/>
      <c r="F45" s="13"/>
      <c r="G45" s="23"/>
      <c r="H45" s="23"/>
    </row>
    <row r="46" spans="1:8" x14ac:dyDescent="0.25">
      <c r="A46" s="13" t="s">
        <v>1357</v>
      </c>
      <c r="B46" s="13"/>
      <c r="C46" s="13"/>
      <c r="D46" s="13"/>
      <c r="E46" s="13"/>
      <c r="F46" s="13"/>
      <c r="G46" s="23"/>
      <c r="H46" s="23"/>
    </row>
    <row r="47" spans="1:8" x14ac:dyDescent="0.25">
      <c r="A47" s="13" t="s">
        <v>1358</v>
      </c>
      <c r="B47" s="13"/>
      <c r="C47" s="13"/>
      <c r="D47" s="13"/>
      <c r="E47" s="13"/>
      <c r="F47" s="13"/>
      <c r="G47" s="23"/>
      <c r="H47" s="23"/>
    </row>
    <row r="48" spans="1:8" x14ac:dyDescent="0.25">
      <c r="A48" s="13" t="s">
        <v>1359</v>
      </c>
      <c r="B48" s="13"/>
      <c r="C48" s="13"/>
      <c r="D48" s="13"/>
      <c r="E48" s="13"/>
      <c r="F48" s="13"/>
      <c r="G48" s="23"/>
      <c r="H48" s="23"/>
    </row>
    <row r="49" spans="1:8" x14ac:dyDescent="0.25">
      <c r="A49" s="13" t="s">
        <v>1360</v>
      </c>
      <c r="B49" s="13"/>
      <c r="C49" s="13"/>
      <c r="D49" s="13"/>
      <c r="E49" s="13"/>
      <c r="F49" s="13"/>
      <c r="G49" s="23"/>
      <c r="H49" s="23"/>
    </row>
    <row r="50" spans="1:8" x14ac:dyDescent="0.25">
      <c r="A50" s="13" t="s">
        <v>1361</v>
      </c>
      <c r="B50" s="13"/>
      <c r="C50" s="13"/>
      <c r="D50" s="13"/>
      <c r="E50" s="13"/>
      <c r="F50" s="13"/>
      <c r="G50" s="23"/>
      <c r="H50" s="23"/>
    </row>
    <row r="51" spans="1:8" x14ac:dyDescent="0.25">
      <c r="A51" s="23"/>
      <c r="B51" s="23"/>
      <c r="C51" s="23"/>
      <c r="D51" s="23"/>
      <c r="E51" s="23"/>
      <c r="F51" s="23"/>
      <c r="G51" s="23"/>
      <c r="H51" s="23"/>
    </row>
    <row r="52" spans="1:8" x14ac:dyDescent="0.25">
      <c r="A52" s="13" t="s">
        <v>1362</v>
      </c>
      <c r="B52" s="23"/>
      <c r="C52" s="23"/>
      <c r="D52" s="23"/>
      <c r="E52" s="23"/>
      <c r="F52" s="23"/>
      <c r="G52" s="23"/>
      <c r="H52" s="23"/>
    </row>
    <row r="53" spans="1:8" x14ac:dyDescent="0.25">
      <c r="A53" s="23"/>
      <c r="B53" s="23"/>
      <c r="C53" s="23"/>
      <c r="D53" s="23"/>
      <c r="E53" s="23"/>
      <c r="F53" s="23"/>
      <c r="G53" s="23"/>
      <c r="H53" s="23"/>
    </row>
  </sheetData>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7" workbookViewId="0">
      <selection activeCell="F52" sqref="F52"/>
    </sheetView>
  </sheetViews>
  <sheetFormatPr defaultRowHeight="15" x14ac:dyDescent="0.25"/>
  <cols>
    <col min="2" max="2" width="17.140625" customWidth="1"/>
    <col min="3" max="3" width="17.85546875" customWidth="1"/>
    <col min="4" max="4" width="17.7109375" customWidth="1"/>
  </cols>
  <sheetData>
    <row r="1" spans="1:7" x14ac:dyDescent="0.25">
      <c r="A1" s="23"/>
      <c r="B1" s="23"/>
      <c r="C1" s="23"/>
      <c r="D1" s="23"/>
      <c r="E1" s="23"/>
      <c r="F1" s="23"/>
      <c r="G1" s="23"/>
    </row>
    <row r="2" spans="1:7" x14ac:dyDescent="0.25">
      <c r="A2" s="23"/>
      <c r="B2" s="352"/>
      <c r="C2" s="352"/>
      <c r="D2" s="23"/>
      <c r="E2" s="23"/>
      <c r="F2" s="23"/>
      <c r="G2" s="23"/>
    </row>
    <row r="3" spans="1:7" x14ac:dyDescent="0.25">
      <c r="A3" s="23"/>
      <c r="B3" s="23"/>
      <c r="C3" s="23"/>
      <c r="D3" s="23"/>
      <c r="E3" s="23"/>
      <c r="F3" s="23"/>
      <c r="G3" s="23"/>
    </row>
    <row r="4" spans="1:7" x14ac:dyDescent="0.25">
      <c r="A4" s="405" t="s">
        <v>1208</v>
      </c>
      <c r="B4" s="405"/>
      <c r="C4" s="23"/>
      <c r="D4" s="23"/>
      <c r="E4" s="383"/>
      <c r="F4" s="23"/>
      <c r="G4" s="23"/>
    </row>
    <row r="5" spans="1:7" x14ac:dyDescent="0.25">
      <c r="A5" s="23" t="s">
        <v>1209</v>
      </c>
      <c r="B5" s="23"/>
      <c r="C5" s="23"/>
      <c r="D5" s="23"/>
      <c r="E5" s="383"/>
      <c r="F5" s="23"/>
      <c r="G5" s="23"/>
    </row>
    <row r="6" spans="1:7" x14ac:dyDescent="0.25">
      <c r="A6" s="375"/>
      <c r="B6" s="364" t="s">
        <v>1128</v>
      </c>
      <c r="C6" s="364" t="s">
        <v>1210</v>
      </c>
      <c r="D6" s="364" t="s">
        <v>1216</v>
      </c>
      <c r="E6" s="489" t="s">
        <v>1130</v>
      </c>
      <c r="F6" s="23"/>
      <c r="G6" s="23"/>
    </row>
    <row r="7" spans="1:7" x14ac:dyDescent="0.25">
      <c r="A7" s="406" t="s">
        <v>1212</v>
      </c>
      <c r="B7" s="490">
        <f>53440000</f>
        <v>53440000</v>
      </c>
      <c r="C7" s="490">
        <f>[6]Income!C30</f>
        <v>34020000</v>
      </c>
      <c r="D7" s="490">
        <f>'Capital Projects'!D211</f>
        <v>10986419</v>
      </c>
      <c r="E7" s="360">
        <f>D7/67756360*100</f>
        <v>16.214594467589464</v>
      </c>
      <c r="F7" s="23"/>
      <c r="G7" s="393"/>
    </row>
    <row r="8" spans="1:7" x14ac:dyDescent="0.25">
      <c r="A8" s="405"/>
      <c r="B8" s="405"/>
      <c r="C8" s="23"/>
      <c r="D8" s="23"/>
      <c r="E8" s="383"/>
      <c r="F8" s="23"/>
      <c r="G8" s="23"/>
    </row>
    <row r="9" spans="1:7" x14ac:dyDescent="0.25">
      <c r="A9" s="23"/>
      <c r="B9" s="23"/>
      <c r="C9" s="23"/>
      <c r="D9" s="23"/>
      <c r="E9" s="23"/>
      <c r="F9" s="23"/>
      <c r="G9" s="23"/>
    </row>
    <row r="10" spans="1:7" x14ac:dyDescent="0.25">
      <c r="A10" s="405" t="s">
        <v>1363</v>
      </c>
      <c r="B10" s="405"/>
      <c r="C10" s="23"/>
      <c r="D10" s="23"/>
      <c r="E10" s="23"/>
      <c r="F10" s="23"/>
      <c r="G10" s="23"/>
    </row>
    <row r="11" spans="1:7" x14ac:dyDescent="0.25">
      <c r="A11" s="23" t="s">
        <v>1209</v>
      </c>
      <c r="B11" s="23"/>
      <c r="C11" s="23"/>
      <c r="D11" s="23"/>
      <c r="E11" s="383"/>
      <c r="F11" s="23"/>
      <c r="G11" s="23"/>
    </row>
    <row r="12" spans="1:7" x14ac:dyDescent="0.25">
      <c r="A12" s="375"/>
      <c r="B12" s="364" t="s">
        <v>1128</v>
      </c>
      <c r="C12" s="364" t="s">
        <v>1210</v>
      </c>
      <c r="D12" s="364"/>
      <c r="E12" s="489" t="s">
        <v>1130</v>
      </c>
      <c r="F12" s="23"/>
      <c r="G12" s="23"/>
    </row>
    <row r="13" spans="1:7" x14ac:dyDescent="0.25">
      <c r="A13" s="406" t="s">
        <v>1364</v>
      </c>
      <c r="B13" s="358">
        <f>934000+975067</f>
        <v>1909067</v>
      </c>
      <c r="C13" s="358">
        <f>934000+975067</f>
        <v>1909067</v>
      </c>
      <c r="D13" s="387">
        <v>516235</v>
      </c>
      <c r="E13" s="360">
        <f>D13/B13*100</f>
        <v>27.041219611464655</v>
      </c>
      <c r="F13" s="393"/>
      <c r="G13" s="393"/>
    </row>
    <row r="14" spans="1:7" x14ac:dyDescent="0.25">
      <c r="A14" s="23"/>
      <c r="B14" s="23"/>
      <c r="C14" s="23"/>
      <c r="D14" s="23"/>
      <c r="E14" s="23"/>
      <c r="F14" s="23"/>
      <c r="G14" s="23"/>
    </row>
    <row r="15" spans="1:7" x14ac:dyDescent="0.25">
      <c r="A15" s="23"/>
      <c r="B15" s="23"/>
      <c r="C15" s="23"/>
      <c r="D15" s="23"/>
      <c r="E15" s="23"/>
      <c r="F15" s="23"/>
      <c r="G15" s="23"/>
    </row>
    <row r="16" spans="1:7" x14ac:dyDescent="0.25">
      <c r="A16" s="352" t="s">
        <v>1365</v>
      </c>
      <c r="B16" s="23"/>
      <c r="C16" s="23"/>
      <c r="D16" s="23"/>
      <c r="E16" s="23"/>
      <c r="F16" s="23"/>
      <c r="G16" s="23"/>
    </row>
    <row r="17" spans="1:7" x14ac:dyDescent="0.25">
      <c r="A17" s="23" t="s">
        <v>1209</v>
      </c>
      <c r="B17" s="23"/>
      <c r="C17" s="23"/>
      <c r="D17" s="23"/>
      <c r="E17" s="383"/>
      <c r="F17" s="23"/>
      <c r="G17" s="23"/>
    </row>
    <row r="18" spans="1:7" x14ac:dyDescent="0.25">
      <c r="A18" s="375"/>
      <c r="B18" s="364" t="s">
        <v>1128</v>
      </c>
      <c r="C18" s="364" t="s">
        <v>1210</v>
      </c>
      <c r="D18" s="364"/>
      <c r="E18" s="489" t="s">
        <v>1130</v>
      </c>
      <c r="F18" s="23"/>
      <c r="G18" s="23"/>
    </row>
    <row r="19" spans="1:7" x14ac:dyDescent="0.25">
      <c r="A19" s="406" t="s">
        <v>1366</v>
      </c>
      <c r="B19" s="398">
        <f>1600000+241512</f>
        <v>1841512</v>
      </c>
      <c r="C19" s="398">
        <f>1600000+241512</f>
        <v>1841512</v>
      </c>
      <c r="D19" s="358">
        <f>29597+25000+30633+40163+27024+26615</f>
        <v>179032</v>
      </c>
      <c r="E19" s="360">
        <f>D19/B19*100</f>
        <v>9.722011043099366</v>
      </c>
      <c r="F19" s="23"/>
      <c r="G19" s="23"/>
    </row>
    <row r="20" spans="1:7" x14ac:dyDescent="0.25">
      <c r="A20" s="23"/>
      <c r="B20" s="23"/>
      <c r="C20" s="23"/>
      <c r="D20" s="23"/>
      <c r="E20" s="23"/>
      <c r="F20" s="23"/>
      <c r="G20" s="23"/>
    </row>
    <row r="21" spans="1:7" x14ac:dyDescent="0.25">
      <c r="A21" s="23"/>
      <c r="B21" s="23"/>
      <c r="C21" s="23"/>
      <c r="D21" s="23"/>
      <c r="E21" s="23"/>
      <c r="F21" s="23"/>
      <c r="G21" s="23"/>
    </row>
    <row r="22" spans="1:7" x14ac:dyDescent="0.25">
      <c r="A22" s="352" t="s">
        <v>1367</v>
      </c>
      <c r="B22" s="23"/>
      <c r="C22" s="23"/>
      <c r="D22" s="23"/>
      <c r="E22" s="23"/>
      <c r="F22" s="23"/>
      <c r="G22" s="23"/>
    </row>
    <row r="23" spans="1:7" x14ac:dyDescent="0.25">
      <c r="A23" s="23" t="s">
        <v>1209</v>
      </c>
      <c r="B23" s="23"/>
      <c r="C23" s="23"/>
      <c r="D23" s="23"/>
      <c r="E23" s="383"/>
      <c r="F23" s="23"/>
      <c r="G23" s="23"/>
    </row>
    <row r="24" spans="1:7" x14ac:dyDescent="0.25">
      <c r="A24" s="375"/>
      <c r="B24" s="364" t="s">
        <v>1128</v>
      </c>
      <c r="C24" s="364" t="s">
        <v>1210</v>
      </c>
      <c r="D24" s="364"/>
      <c r="E24" s="489" t="s">
        <v>1130</v>
      </c>
      <c r="F24" s="23"/>
      <c r="G24" s="23"/>
    </row>
    <row r="25" spans="1:7" x14ac:dyDescent="0.25">
      <c r="A25" s="406" t="s">
        <v>1368</v>
      </c>
      <c r="B25" s="490">
        <v>1731000</v>
      </c>
      <c r="C25" s="398">
        <v>692000</v>
      </c>
      <c r="D25" s="490">
        <f>242440+252990+280489+232499+240450+215250</f>
        <v>1464118</v>
      </c>
      <c r="E25" s="360">
        <f>D25/B25*100</f>
        <v>84.582206816868862</v>
      </c>
      <c r="F25" s="491"/>
      <c r="G25" s="23"/>
    </row>
    <row r="26" spans="1:7" x14ac:dyDescent="0.25">
      <c r="A26" s="23"/>
      <c r="B26" s="23"/>
      <c r="C26" s="23"/>
      <c r="D26" s="23"/>
      <c r="E26" s="23"/>
      <c r="F26" s="23"/>
      <c r="G26" s="23"/>
    </row>
  </sheetData>
  <dataValidations count="1">
    <dataValidation type="whole" allowBlank="1" showInputMessage="1" showErrorMessage="1" sqref="G19">
      <formula1>-99999999999</formula1>
      <formula2>999999999999</formula2>
    </dataValidation>
  </dataValidations>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F52" sqref="F52"/>
    </sheetView>
  </sheetViews>
  <sheetFormatPr defaultRowHeight="15" x14ac:dyDescent="0.25"/>
  <sheetData>
    <row r="1" spans="1:8" ht="15.75" x14ac:dyDescent="0.25">
      <c r="A1" s="351" t="s">
        <v>1369</v>
      </c>
      <c r="B1" s="23"/>
      <c r="C1" s="23"/>
      <c r="D1" s="23"/>
      <c r="E1" s="23"/>
      <c r="F1" s="23"/>
      <c r="G1" s="23"/>
      <c r="H1" s="23"/>
    </row>
    <row r="2" spans="1:8" x14ac:dyDescent="0.25">
      <c r="A2" s="23"/>
      <c r="B2" s="23"/>
      <c r="C2" s="23"/>
      <c r="D2" s="23"/>
      <c r="E2" s="23"/>
      <c r="F2" s="23"/>
      <c r="G2" s="23"/>
      <c r="H2" s="23"/>
    </row>
    <row r="3" spans="1:8" x14ac:dyDescent="0.25">
      <c r="A3" s="23" t="s">
        <v>1370</v>
      </c>
      <c r="B3" s="23"/>
      <c r="C3" s="23"/>
      <c r="D3" s="23"/>
      <c r="E3" s="23"/>
      <c r="F3" s="23"/>
      <c r="G3" s="23"/>
      <c r="H3" s="23"/>
    </row>
    <row r="4" spans="1:8" x14ac:dyDescent="0.25">
      <c r="A4" s="23"/>
      <c r="B4" s="23"/>
      <c r="C4" s="23"/>
      <c r="D4" s="23"/>
      <c r="E4" s="23"/>
      <c r="F4" s="23"/>
      <c r="G4" s="23"/>
      <c r="H4" s="23"/>
    </row>
    <row r="5" spans="1:8" x14ac:dyDescent="0.25">
      <c r="A5" s="23" t="s">
        <v>1371</v>
      </c>
      <c r="B5" s="23"/>
      <c r="C5" s="23"/>
      <c r="D5" s="23"/>
      <c r="E5" s="23"/>
      <c r="F5" s="23"/>
      <c r="G5" s="23"/>
      <c r="H5" s="23"/>
    </row>
    <row r="6" spans="1:8" x14ac:dyDescent="0.25">
      <c r="A6" s="23"/>
      <c r="B6" s="23"/>
      <c r="C6" s="23"/>
      <c r="D6" s="23"/>
      <c r="E6" s="23"/>
      <c r="F6" s="23"/>
      <c r="G6" s="23"/>
      <c r="H6" s="23"/>
    </row>
    <row r="7" spans="1:8" x14ac:dyDescent="0.25">
      <c r="A7" s="23" t="s">
        <v>1372</v>
      </c>
      <c r="B7" s="23"/>
      <c r="C7" s="23"/>
      <c r="D7" s="23"/>
      <c r="E7" s="23"/>
      <c r="F7" s="23"/>
      <c r="G7" s="23"/>
      <c r="H7" s="23"/>
    </row>
    <row r="8" spans="1:8" x14ac:dyDescent="0.25">
      <c r="A8" s="23"/>
      <c r="B8" s="23"/>
      <c r="C8" s="23"/>
      <c r="D8" s="23"/>
      <c r="E8" s="23"/>
      <c r="F8" s="23"/>
      <c r="G8" s="23"/>
      <c r="H8" s="23"/>
    </row>
    <row r="9" spans="1:8" x14ac:dyDescent="0.25">
      <c r="A9" s="23"/>
      <c r="B9" s="23"/>
      <c r="C9" s="23"/>
      <c r="D9" s="23"/>
      <c r="E9" s="23"/>
      <c r="F9" s="23"/>
      <c r="G9" s="23"/>
      <c r="H9" s="23"/>
    </row>
  </sheetData>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60" zoomScaleNormal="100" workbookViewId="0">
      <selection activeCell="F52" sqref="F52"/>
    </sheetView>
  </sheetViews>
  <sheetFormatPr defaultRowHeight="48" customHeight="1" x14ac:dyDescent="0.25"/>
  <cols>
    <col min="1" max="1" width="135.7109375" customWidth="1"/>
  </cols>
  <sheetData>
    <row r="1" spans="1:10" ht="48" customHeight="1" x14ac:dyDescent="0.25">
      <c r="A1" s="494" t="s">
        <v>1373</v>
      </c>
      <c r="B1" s="23"/>
      <c r="C1" s="23"/>
      <c r="D1" s="23"/>
      <c r="E1" s="23"/>
      <c r="F1" s="23"/>
      <c r="G1" s="23"/>
      <c r="H1" s="23"/>
      <c r="I1" s="23"/>
      <c r="J1" s="23"/>
    </row>
    <row r="2" spans="1:10" ht="1.5" customHeight="1" x14ac:dyDescent="0.25">
      <c r="A2" s="495"/>
      <c r="B2" s="23"/>
      <c r="C2" s="23"/>
      <c r="D2" s="23"/>
      <c r="E2" s="23"/>
      <c r="F2" s="23"/>
      <c r="G2" s="23"/>
      <c r="H2" s="23"/>
      <c r="I2" s="23"/>
      <c r="J2" s="23"/>
    </row>
    <row r="3" spans="1:10" ht="111.75" customHeight="1" x14ac:dyDescent="0.25">
      <c r="A3" s="495" t="s">
        <v>1374</v>
      </c>
      <c r="B3" s="492"/>
      <c r="C3" s="492"/>
      <c r="D3" s="492"/>
      <c r="E3" s="492"/>
      <c r="F3" s="492"/>
      <c r="G3" s="492"/>
      <c r="H3" s="492"/>
      <c r="I3" s="492"/>
      <c r="J3" s="492"/>
    </row>
    <row r="4" spans="1:10" ht="30" customHeight="1" x14ac:dyDescent="0.25">
      <c r="A4" s="494"/>
    </row>
    <row r="5" spans="1:10" ht="29.25" customHeight="1" x14ac:dyDescent="0.25">
      <c r="A5" s="494" t="s">
        <v>1375</v>
      </c>
    </row>
    <row r="6" spans="1:10" ht="27" customHeight="1" x14ac:dyDescent="0.25">
      <c r="A6" s="494"/>
    </row>
    <row r="7" spans="1:10" ht="48" customHeight="1" x14ac:dyDescent="0.25">
      <c r="A7" s="494" t="s">
        <v>1376</v>
      </c>
    </row>
    <row r="8" spans="1:10" ht="22.5" customHeight="1" x14ac:dyDescent="0.25">
      <c r="A8" s="495"/>
    </row>
    <row r="9" spans="1:10" ht="24.75" customHeight="1" x14ac:dyDescent="0.25">
      <c r="A9" s="495" t="s">
        <v>1377</v>
      </c>
    </row>
    <row r="10" spans="1:10" ht="50.25" customHeight="1" x14ac:dyDescent="0.25">
      <c r="A10" s="495" t="s">
        <v>1378</v>
      </c>
    </row>
    <row r="11" spans="1:10" ht="30" customHeight="1" x14ac:dyDescent="0.25">
      <c r="A11" s="495" t="s">
        <v>1379</v>
      </c>
    </row>
    <row r="12" spans="1:10" ht="36" customHeight="1" x14ac:dyDescent="0.25">
      <c r="A12" s="495" t="s">
        <v>1380</v>
      </c>
    </row>
    <row r="13" spans="1:10" ht="55.5" customHeight="1" x14ac:dyDescent="0.25">
      <c r="A13" s="495" t="s">
        <v>1381</v>
      </c>
    </row>
    <row r="14" spans="1:10" ht="30" customHeight="1" x14ac:dyDescent="0.25">
      <c r="A14" s="495" t="s">
        <v>1382</v>
      </c>
    </row>
    <row r="15" spans="1:10" ht="29.25" customHeight="1" x14ac:dyDescent="0.25">
      <c r="A15" s="495"/>
    </row>
    <row r="16" spans="1:10" ht="39" customHeight="1" x14ac:dyDescent="0.25">
      <c r="A16" s="495" t="s">
        <v>1383</v>
      </c>
    </row>
    <row r="17" spans="1:1" ht="2.25" customHeight="1" x14ac:dyDescent="0.25">
      <c r="A17" s="493"/>
    </row>
    <row r="18" spans="1:1" ht="19.5" customHeight="1" x14ac:dyDescent="0.25">
      <c r="A18" s="493"/>
    </row>
    <row r="19" spans="1:1" ht="24.75" customHeight="1" x14ac:dyDescent="0.25">
      <c r="A19" s="493"/>
    </row>
    <row r="20" spans="1:1" ht="27" customHeight="1" x14ac:dyDescent="0.25">
      <c r="A20" s="493"/>
    </row>
    <row r="21" spans="1:1" ht="27" customHeight="1" x14ac:dyDescent="0.25">
      <c r="A21" s="493"/>
    </row>
    <row r="22" spans="1:1" ht="27.75" customHeight="1" x14ac:dyDescent="0.25">
      <c r="A22" s="493"/>
    </row>
    <row r="23" spans="1:1" ht="22.5" customHeight="1" x14ac:dyDescent="0.25">
      <c r="A23" s="493"/>
    </row>
    <row r="24" spans="1:1" ht="48" customHeight="1" x14ac:dyDescent="0.25">
      <c r="A24" s="493"/>
    </row>
    <row r="25" spans="1:1" ht="48" customHeight="1" x14ac:dyDescent="0.25">
      <c r="A25" s="492"/>
    </row>
  </sheetData>
  <pageMargins left="0.70866141732283472" right="0.70866141732283472" top="0.74803149606299213" bottom="0.74803149606299213" header="0.31496062992125984" footer="0.31496062992125984"/>
  <pageSetup paperSize="9" scale="56" orientation="portrait" r:id="rId1"/>
  <headerFooter>
    <oddFooter>&amp;L&amp;N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BreakPreview" topLeftCell="A4" zoomScale="60" zoomScaleNormal="100" workbookViewId="0">
      <selection activeCell="F11" sqref="F11"/>
    </sheetView>
  </sheetViews>
  <sheetFormatPr defaultRowHeight="15" x14ac:dyDescent="0.25"/>
  <cols>
    <col min="1" max="1" width="85.7109375" customWidth="1"/>
  </cols>
  <sheetData>
    <row r="1" spans="1:1" ht="16.5" customHeight="1" x14ac:dyDescent="0.25">
      <c r="A1" s="496" t="s">
        <v>1394</v>
      </c>
    </row>
    <row r="2" spans="1:1" ht="15.75" x14ac:dyDescent="0.25">
      <c r="A2" s="497"/>
    </row>
    <row r="3" spans="1:1" ht="220.5" customHeight="1" x14ac:dyDescent="0.25">
      <c r="A3" s="498" t="s">
        <v>1384</v>
      </c>
    </row>
    <row r="4" spans="1:1" ht="134.25" customHeight="1" x14ac:dyDescent="0.25">
      <c r="A4" s="498" t="s">
        <v>1385</v>
      </c>
    </row>
    <row r="5" spans="1:1" ht="51" customHeight="1" x14ac:dyDescent="0.25">
      <c r="A5" s="498" t="s">
        <v>1386</v>
      </c>
    </row>
    <row r="6" spans="1:1" ht="65.25" customHeight="1" x14ac:dyDescent="0.25">
      <c r="A6" s="498" t="s">
        <v>1387</v>
      </c>
    </row>
    <row r="7" spans="1:1" ht="47.25" customHeight="1" x14ac:dyDescent="0.25">
      <c r="A7" s="498" t="s">
        <v>1388</v>
      </c>
    </row>
    <row r="8" spans="1:1" ht="37.5" customHeight="1" x14ac:dyDescent="0.25">
      <c r="A8" s="499" t="s">
        <v>1389</v>
      </c>
    </row>
    <row r="9" spans="1:1" ht="24" customHeight="1" x14ac:dyDescent="0.25">
      <c r="A9" s="498" t="s">
        <v>1390</v>
      </c>
    </row>
    <row r="10" spans="1:1" ht="21.75" customHeight="1" x14ac:dyDescent="0.25">
      <c r="A10" s="498" t="s">
        <v>1391</v>
      </c>
    </row>
    <row r="11" spans="1:1" ht="24" customHeight="1" x14ac:dyDescent="0.25">
      <c r="A11" s="498" t="s">
        <v>1392</v>
      </c>
    </row>
    <row r="12" spans="1:1" ht="27" customHeight="1" x14ac:dyDescent="0.25">
      <c r="A12" s="498" t="s">
        <v>1393</v>
      </c>
    </row>
  </sheetData>
  <pageMargins left="0.70866141732283472" right="0.70866141732283472" top="0.74803149606299213" bottom="0.74803149606299213" header="0.31496062992125984" footer="0.31496062992125984"/>
  <pageSetup paperSize="9" scale="85" fitToHeight="0" orientation="portrait" r:id="rId1"/>
  <headerFooter>
    <oddFooter>&amp;L&amp;N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view="pageBreakPreview" zoomScale="60" zoomScaleNormal="90" workbookViewId="0">
      <selection activeCell="F52" sqref="F52"/>
    </sheetView>
  </sheetViews>
  <sheetFormatPr defaultRowHeight="15" x14ac:dyDescent="0.25"/>
  <cols>
    <col min="1" max="1" width="11.140625" style="2" customWidth="1"/>
    <col min="2" max="2" width="102.42578125" style="2" customWidth="1"/>
    <col min="3" max="16384" width="9.140625" style="2"/>
  </cols>
  <sheetData>
    <row r="1" spans="1:2" ht="222" thickTop="1" thickBot="1" x14ac:dyDescent="0.3">
      <c r="A1" s="501" t="s">
        <v>1398</v>
      </c>
      <c r="B1" s="503" t="s">
        <v>1397</v>
      </c>
    </row>
    <row r="2" spans="1:2" ht="124.5" customHeight="1" thickTop="1" thickBot="1" x14ac:dyDescent="0.3">
      <c r="A2" s="512" t="s">
        <v>1396</v>
      </c>
      <c r="B2" s="502" t="s">
        <v>1395</v>
      </c>
    </row>
    <row r="3" spans="1:2" ht="409.6" customHeight="1" thickTop="1" thickBot="1" x14ac:dyDescent="0.35">
      <c r="A3" s="512"/>
      <c r="B3" s="500"/>
    </row>
    <row r="4" spans="1:2" ht="15.75" thickTop="1" x14ac:dyDescent="0.25"/>
  </sheetData>
  <mergeCells count="1">
    <mergeCell ref="A2:A3"/>
  </mergeCells>
  <pageMargins left="0.70866141732283472" right="0.70866141732283472" top="0.74803149606299213" bottom="0.74803149606299213" header="0.31496062992125984" footer="0.31496062992125984"/>
  <pageSetup paperSize="9" scale="70" fitToHeight="0" orientation="portrait" r:id="rId1"/>
  <headerFooter>
    <oddFooter>&amp;L&amp;N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S38"/>
  <sheetViews>
    <sheetView view="pageBreakPreview" topLeftCell="A3" zoomScaleNormal="100" zoomScaleSheetLayoutView="100" workbookViewId="0">
      <selection activeCell="F52" sqref="F52"/>
    </sheetView>
  </sheetViews>
  <sheetFormatPr defaultRowHeight="15" x14ac:dyDescent="0.25"/>
  <cols>
    <col min="1" max="1" width="4.5703125" style="9" customWidth="1"/>
    <col min="2" max="2" width="10.7109375" customWidth="1"/>
    <col min="3" max="3" width="10.42578125" customWidth="1"/>
    <col min="4" max="4" width="14.5703125" customWidth="1"/>
    <col min="5" max="5" width="14.42578125" customWidth="1"/>
    <col min="6" max="6" width="10.42578125" style="9" customWidth="1"/>
    <col min="7" max="7" width="9.42578125" customWidth="1"/>
    <col min="8" max="8" width="12.28515625" style="23" customWidth="1"/>
    <col min="9" max="9" width="12.28515625" style="41" customWidth="1"/>
    <col min="10" max="11" width="12.28515625" style="23" customWidth="1"/>
    <col min="12" max="12" width="14" style="23" customWidth="1"/>
    <col min="13" max="13" width="14" customWidth="1"/>
  </cols>
  <sheetData>
    <row r="1" spans="1:253" s="77" customFormat="1" ht="24.75" customHeight="1" thickTop="1" x14ac:dyDescent="0.2">
      <c r="A1" s="513" t="s">
        <v>51</v>
      </c>
      <c r="B1" s="514"/>
      <c r="C1" s="514"/>
      <c r="D1" s="514"/>
      <c r="E1" s="514"/>
      <c r="F1" s="514"/>
      <c r="G1" s="514"/>
      <c r="H1" s="514"/>
      <c r="I1" s="514"/>
      <c r="J1" s="514"/>
      <c r="K1" s="514"/>
      <c r="L1" s="514"/>
      <c r="M1" s="515"/>
    </row>
    <row r="2" spans="1:253" s="77" customFormat="1" ht="13.5" customHeight="1" x14ac:dyDescent="0.2">
      <c r="A2" s="516" t="s">
        <v>22</v>
      </c>
      <c r="B2" s="517"/>
      <c r="C2" s="517"/>
      <c r="D2" s="517"/>
      <c r="E2" s="517"/>
      <c r="F2" s="517"/>
      <c r="G2" s="517"/>
      <c r="H2" s="517"/>
      <c r="I2" s="517"/>
      <c r="J2" s="517"/>
      <c r="K2" s="517"/>
      <c r="L2" s="517"/>
      <c r="M2" s="518"/>
    </row>
    <row r="3" spans="1:253" ht="27" customHeight="1" thickBot="1" x14ac:dyDescent="0.3">
      <c r="A3" s="519" t="s">
        <v>34</v>
      </c>
      <c r="B3" s="520"/>
      <c r="C3" s="520"/>
      <c r="D3" s="520"/>
      <c r="E3" s="520"/>
      <c r="F3" s="520"/>
      <c r="G3" s="520"/>
      <c r="H3" s="520"/>
      <c r="I3" s="520"/>
      <c r="J3" s="520"/>
      <c r="K3" s="520"/>
      <c r="L3" s="520"/>
      <c r="M3" s="521"/>
    </row>
    <row r="4" spans="1:253" s="81" customFormat="1" ht="55.5" customHeight="1" thickTop="1" thickBot="1" x14ac:dyDescent="0.25">
      <c r="A4" s="78" t="s">
        <v>2</v>
      </c>
      <c r="B4" s="79" t="s">
        <v>0</v>
      </c>
      <c r="C4" s="79" t="s">
        <v>69</v>
      </c>
      <c r="D4" s="79" t="s">
        <v>8</v>
      </c>
      <c r="E4" s="79" t="s">
        <v>21</v>
      </c>
      <c r="F4" s="78" t="s">
        <v>9</v>
      </c>
      <c r="G4" s="80" t="s">
        <v>117</v>
      </c>
      <c r="H4" s="78" t="s">
        <v>719</v>
      </c>
      <c r="I4" s="78" t="s">
        <v>749</v>
      </c>
      <c r="J4" s="79" t="s">
        <v>635</v>
      </c>
      <c r="K4" s="79" t="s">
        <v>636</v>
      </c>
      <c r="L4" s="79" t="s">
        <v>637</v>
      </c>
      <c r="M4" s="10" t="s">
        <v>10</v>
      </c>
    </row>
    <row r="5" spans="1:253" s="13" customFormat="1" ht="96.75" customHeight="1" thickTop="1" thickBot="1" x14ac:dyDescent="0.3">
      <c r="A5" s="153">
        <v>50</v>
      </c>
      <c r="B5" s="91" t="s">
        <v>116</v>
      </c>
      <c r="C5" s="91" t="s">
        <v>40</v>
      </c>
      <c r="D5" s="91" t="s">
        <v>436</v>
      </c>
      <c r="E5" s="91" t="s">
        <v>437</v>
      </c>
      <c r="F5" s="154">
        <v>1725</v>
      </c>
      <c r="G5" s="91" t="s">
        <v>11</v>
      </c>
      <c r="H5" s="6">
        <v>900</v>
      </c>
      <c r="I5" s="6" t="s">
        <v>955</v>
      </c>
      <c r="J5" s="206" t="s">
        <v>859</v>
      </c>
      <c r="K5" s="201" t="s">
        <v>720</v>
      </c>
      <c r="L5" s="213">
        <v>154257</v>
      </c>
      <c r="M5" s="91" t="s">
        <v>59</v>
      </c>
    </row>
    <row r="6" spans="1:253" s="23" customFormat="1" ht="61.5" customHeight="1" thickTop="1" thickBot="1" x14ac:dyDescent="0.3">
      <c r="A6" s="4">
        <v>22</v>
      </c>
      <c r="B6" s="6" t="s">
        <v>23</v>
      </c>
      <c r="C6" s="6" t="s">
        <v>43</v>
      </c>
      <c r="D6" s="42" t="s">
        <v>438</v>
      </c>
      <c r="E6" s="42" t="s">
        <v>118</v>
      </c>
      <c r="F6" s="75" t="s">
        <v>159</v>
      </c>
      <c r="G6" s="6" t="s">
        <v>11</v>
      </c>
      <c r="H6" s="6" t="s">
        <v>1</v>
      </c>
      <c r="I6" s="134" t="s">
        <v>12</v>
      </c>
      <c r="J6" s="6" t="s">
        <v>12</v>
      </c>
      <c r="K6" s="6" t="s">
        <v>12</v>
      </c>
      <c r="L6" s="91" t="s">
        <v>11</v>
      </c>
      <c r="M6" s="6" t="s">
        <v>36</v>
      </c>
    </row>
    <row r="7" spans="1:253" s="23" customFormat="1" ht="62.25" customHeight="1" thickTop="1" thickBot="1" x14ac:dyDescent="0.3">
      <c r="A7" s="4">
        <v>22</v>
      </c>
      <c r="B7" s="6" t="s">
        <v>23</v>
      </c>
      <c r="C7" s="6" t="s">
        <v>43</v>
      </c>
      <c r="D7" s="42" t="s">
        <v>488</v>
      </c>
      <c r="E7" s="42" t="s">
        <v>489</v>
      </c>
      <c r="F7" s="75" t="s">
        <v>119</v>
      </c>
      <c r="G7" s="6" t="s">
        <v>11</v>
      </c>
      <c r="H7" s="6" t="s">
        <v>1</v>
      </c>
      <c r="I7" s="134" t="s">
        <v>12</v>
      </c>
      <c r="J7" s="6" t="s">
        <v>12</v>
      </c>
      <c r="K7" s="6" t="s">
        <v>12</v>
      </c>
      <c r="L7" s="91" t="s">
        <v>11</v>
      </c>
      <c r="M7" s="6" t="s">
        <v>36</v>
      </c>
    </row>
    <row r="8" spans="1:253" ht="57.75" customHeight="1" thickTop="1" thickBot="1" x14ac:dyDescent="0.3">
      <c r="A8" s="4">
        <v>22</v>
      </c>
      <c r="B8" s="6" t="s">
        <v>23</v>
      </c>
      <c r="C8" s="6" t="s">
        <v>43</v>
      </c>
      <c r="D8" s="6" t="s">
        <v>120</v>
      </c>
      <c r="E8" s="6" t="s">
        <v>114</v>
      </c>
      <c r="F8" s="5">
        <v>1</v>
      </c>
      <c r="G8" s="6" t="s">
        <v>11</v>
      </c>
      <c r="H8" s="7">
        <v>0.5</v>
      </c>
      <c r="I8" s="133" t="s">
        <v>721</v>
      </c>
      <c r="J8" s="6" t="s">
        <v>12</v>
      </c>
      <c r="K8" s="6" t="s">
        <v>12</v>
      </c>
      <c r="L8" s="91" t="s">
        <v>11</v>
      </c>
      <c r="M8" s="6" t="s">
        <v>60</v>
      </c>
    </row>
    <row r="9" spans="1:253" ht="79.5" customHeight="1" thickTop="1" thickBot="1" x14ac:dyDescent="0.3">
      <c r="A9" s="4">
        <v>22</v>
      </c>
      <c r="B9" s="6" t="s">
        <v>24</v>
      </c>
      <c r="C9" s="6" t="s">
        <v>64</v>
      </c>
      <c r="D9" s="6" t="s">
        <v>514</v>
      </c>
      <c r="E9" s="6" t="s">
        <v>515</v>
      </c>
      <c r="F9" s="6" t="s">
        <v>516</v>
      </c>
      <c r="G9" s="6" t="s">
        <v>13</v>
      </c>
      <c r="H9" s="6" t="s">
        <v>516</v>
      </c>
      <c r="I9" s="134" t="s">
        <v>1407</v>
      </c>
      <c r="J9" s="6" t="s">
        <v>12</v>
      </c>
      <c r="K9" s="6" t="s">
        <v>12</v>
      </c>
      <c r="L9" s="91" t="s">
        <v>11</v>
      </c>
      <c r="M9" s="8" t="s">
        <v>14</v>
      </c>
    </row>
    <row r="10" spans="1:253" ht="103.5" customHeight="1" thickTop="1" thickBot="1" x14ac:dyDescent="0.3">
      <c r="A10" s="4">
        <v>22</v>
      </c>
      <c r="B10" s="6" t="s">
        <v>24</v>
      </c>
      <c r="C10" s="6" t="s">
        <v>64</v>
      </c>
      <c r="D10" s="6" t="s">
        <v>439</v>
      </c>
      <c r="E10" s="6" t="s">
        <v>443</v>
      </c>
      <c r="F10" s="133">
        <v>1</v>
      </c>
      <c r="G10" s="6" t="s">
        <v>13</v>
      </c>
      <c r="H10" s="7">
        <v>1</v>
      </c>
      <c r="I10" s="207" t="s">
        <v>814</v>
      </c>
      <c r="J10" s="7" t="s">
        <v>640</v>
      </c>
      <c r="K10" s="7" t="s">
        <v>640</v>
      </c>
      <c r="L10" s="91" t="s">
        <v>11</v>
      </c>
      <c r="M10" s="8" t="s">
        <v>14</v>
      </c>
    </row>
    <row r="11" spans="1:253" s="46" customFormat="1" ht="84" customHeight="1" thickTop="1" thickBot="1" x14ac:dyDescent="0.3">
      <c r="A11" s="44">
        <v>22</v>
      </c>
      <c r="B11" s="45" t="s">
        <v>24</v>
      </c>
      <c r="C11" s="45" t="s">
        <v>65</v>
      </c>
      <c r="D11" s="45" t="s">
        <v>517</v>
      </c>
      <c r="E11" s="45" t="s">
        <v>518</v>
      </c>
      <c r="F11" s="45" t="s">
        <v>519</v>
      </c>
      <c r="G11" s="45" t="s">
        <v>13</v>
      </c>
      <c r="H11" s="45" t="s">
        <v>519</v>
      </c>
      <c r="I11" s="208" t="s">
        <v>826</v>
      </c>
      <c r="J11" s="45" t="s">
        <v>1</v>
      </c>
      <c r="K11" s="45" t="s">
        <v>1</v>
      </c>
      <c r="L11" s="91" t="s">
        <v>11</v>
      </c>
      <c r="M11" s="45" t="s">
        <v>99</v>
      </c>
    </row>
    <row r="12" spans="1:253" s="48" customFormat="1" ht="67.5" customHeight="1" thickTop="1" thickBot="1" x14ac:dyDescent="0.3">
      <c r="A12" s="43">
        <v>33</v>
      </c>
      <c r="B12" s="42" t="s">
        <v>25</v>
      </c>
      <c r="C12" s="42" t="s">
        <v>65</v>
      </c>
      <c r="D12" s="42" t="s">
        <v>121</v>
      </c>
      <c r="E12" s="42" t="s">
        <v>122</v>
      </c>
      <c r="F12" s="42" t="s">
        <v>122</v>
      </c>
      <c r="G12" s="42" t="s">
        <v>13</v>
      </c>
      <c r="H12" s="47" t="s">
        <v>1</v>
      </c>
      <c r="I12" s="137" t="s">
        <v>1</v>
      </c>
      <c r="J12" s="47" t="s">
        <v>1</v>
      </c>
      <c r="K12" s="47" t="s">
        <v>1</v>
      </c>
      <c r="L12" s="91" t="s">
        <v>11</v>
      </c>
      <c r="M12" s="42" t="s">
        <v>100</v>
      </c>
    </row>
    <row r="13" spans="1:253" ht="83.25" customHeight="1" thickTop="1" thickBot="1" x14ac:dyDescent="0.3">
      <c r="A13" s="4">
        <v>33</v>
      </c>
      <c r="B13" s="6" t="s">
        <v>25</v>
      </c>
      <c r="C13" s="6" t="s">
        <v>44</v>
      </c>
      <c r="D13" s="6" t="s">
        <v>440</v>
      </c>
      <c r="E13" s="6" t="s">
        <v>441</v>
      </c>
      <c r="F13" s="134" t="s">
        <v>442</v>
      </c>
      <c r="G13" s="6" t="s">
        <v>11</v>
      </c>
      <c r="H13" s="47" t="s">
        <v>1</v>
      </c>
      <c r="I13" s="134" t="s">
        <v>12</v>
      </c>
      <c r="J13" s="6" t="s">
        <v>12</v>
      </c>
      <c r="K13" s="6" t="s">
        <v>12</v>
      </c>
      <c r="L13" s="91" t="s">
        <v>11</v>
      </c>
      <c r="M13" s="6" t="s">
        <v>101</v>
      </c>
    </row>
    <row r="14" spans="1:253" ht="76.5" customHeight="1" thickTop="1" thickBot="1" x14ac:dyDescent="0.3">
      <c r="A14" s="4">
        <v>54</v>
      </c>
      <c r="B14" s="6" t="s">
        <v>25</v>
      </c>
      <c r="C14" s="6" t="s">
        <v>45</v>
      </c>
      <c r="D14" s="6" t="s">
        <v>115</v>
      </c>
      <c r="E14" s="6" t="s">
        <v>444</v>
      </c>
      <c r="F14" s="4">
        <v>4</v>
      </c>
      <c r="G14" s="6" t="s">
        <v>13</v>
      </c>
      <c r="H14" s="4" t="s">
        <v>799</v>
      </c>
      <c r="I14" s="134" t="s">
        <v>722</v>
      </c>
      <c r="J14" s="6" t="s">
        <v>12</v>
      </c>
      <c r="K14" s="6" t="s">
        <v>12</v>
      </c>
      <c r="L14" s="91" t="s">
        <v>11</v>
      </c>
      <c r="M14" s="6" t="s">
        <v>101</v>
      </c>
    </row>
    <row r="15" spans="1:253" ht="100.5" customHeight="1" thickTop="1" thickBot="1" x14ac:dyDescent="0.3">
      <c r="A15" s="4">
        <v>54</v>
      </c>
      <c r="B15" s="6" t="s">
        <v>25</v>
      </c>
      <c r="C15" s="6" t="s">
        <v>46</v>
      </c>
      <c r="D15" s="6" t="s">
        <v>445</v>
      </c>
      <c r="E15" s="6" t="s">
        <v>446</v>
      </c>
      <c r="F15" s="4">
        <v>5</v>
      </c>
      <c r="G15" s="6" t="s">
        <v>13</v>
      </c>
      <c r="H15" s="4" t="s">
        <v>800</v>
      </c>
      <c r="I15" s="134" t="s">
        <v>723</v>
      </c>
      <c r="J15" s="6" t="s">
        <v>724</v>
      </c>
      <c r="K15" s="6" t="s">
        <v>725</v>
      </c>
      <c r="L15" s="91" t="s">
        <v>11</v>
      </c>
      <c r="M15" s="6" t="s">
        <v>6</v>
      </c>
    </row>
    <row r="16" spans="1:253" s="29" customFormat="1" ht="90" customHeight="1" thickTop="1" thickBot="1" x14ac:dyDescent="0.3">
      <c r="A16" s="4">
        <v>54</v>
      </c>
      <c r="B16" s="6" t="s">
        <v>25</v>
      </c>
      <c r="C16" s="6" t="s">
        <v>46</v>
      </c>
      <c r="D16" s="6" t="s">
        <v>449</v>
      </c>
      <c r="E16" s="6" t="s">
        <v>450</v>
      </c>
      <c r="F16" s="4">
        <v>1</v>
      </c>
      <c r="G16" s="6" t="s">
        <v>13</v>
      </c>
      <c r="H16" s="4" t="s">
        <v>802</v>
      </c>
      <c r="I16" s="134" t="s">
        <v>726</v>
      </c>
      <c r="J16" s="6" t="s">
        <v>1</v>
      </c>
      <c r="K16" s="6" t="s">
        <v>1</v>
      </c>
      <c r="L16" s="91" t="s">
        <v>11</v>
      </c>
      <c r="M16" s="6" t="s">
        <v>101</v>
      </c>
      <c r="N16" s="27"/>
      <c r="O16" s="28"/>
      <c r="P16" s="28"/>
      <c r="Q16" s="28"/>
      <c r="R16" s="28"/>
      <c r="S16" s="27"/>
      <c r="T16" s="28"/>
      <c r="U16" s="28"/>
      <c r="V16" s="28"/>
      <c r="W16" s="28"/>
      <c r="X16" s="28"/>
      <c r="Y16" s="28"/>
      <c r="Z16" s="28"/>
      <c r="AA16" s="28"/>
      <c r="AB16" s="28"/>
      <c r="AC16" s="28"/>
      <c r="AD16" s="27"/>
      <c r="AE16" s="28"/>
      <c r="AF16" s="28"/>
      <c r="AG16" s="28"/>
      <c r="AH16" s="28"/>
      <c r="AI16" s="27"/>
      <c r="AJ16" s="28"/>
      <c r="AK16" s="28"/>
      <c r="AL16" s="28"/>
      <c r="AM16" s="28"/>
      <c r="AN16" s="28"/>
      <c r="AO16" s="28"/>
      <c r="AP16" s="28"/>
      <c r="AQ16" s="28"/>
      <c r="AR16" s="28"/>
      <c r="AS16" s="28"/>
      <c r="AT16" s="27"/>
      <c r="AU16" s="28"/>
      <c r="AV16" s="28"/>
      <c r="AW16" s="28"/>
      <c r="AX16" s="28"/>
      <c r="AY16" s="27"/>
      <c r="AZ16" s="28"/>
      <c r="BA16" s="28"/>
      <c r="BB16" s="28"/>
      <c r="BC16" s="28"/>
      <c r="BD16" s="28"/>
      <c r="BE16" s="28"/>
      <c r="BF16" s="28"/>
      <c r="BG16" s="28"/>
      <c r="BH16" s="28"/>
      <c r="BI16" s="28"/>
      <c r="BJ16" s="27"/>
      <c r="BK16" s="28"/>
      <c r="BL16" s="28"/>
      <c r="BM16" s="28"/>
      <c r="BN16" s="28"/>
      <c r="BO16" s="27"/>
      <c r="BP16" s="28"/>
      <c r="BQ16" s="28"/>
      <c r="BR16" s="28"/>
      <c r="BS16" s="28"/>
      <c r="BT16" s="28"/>
      <c r="BU16" s="28"/>
      <c r="BV16" s="28"/>
      <c r="BW16" s="28"/>
      <c r="BX16" s="28"/>
      <c r="BY16" s="28"/>
      <c r="BZ16" s="27"/>
      <c r="CA16" s="28"/>
      <c r="CB16" s="28"/>
      <c r="CC16" s="28"/>
      <c r="CD16" s="28"/>
      <c r="CE16" s="27"/>
      <c r="CF16" s="28"/>
      <c r="CG16" s="28"/>
      <c r="CH16" s="28"/>
      <c r="CI16" s="28"/>
      <c r="CJ16" s="28"/>
      <c r="CK16" s="28"/>
      <c r="CL16" s="28"/>
      <c r="CM16" s="28"/>
      <c r="CN16" s="28"/>
      <c r="CO16" s="28"/>
      <c r="CP16" s="27"/>
      <c r="CQ16" s="28"/>
      <c r="CR16" s="28"/>
      <c r="CS16" s="28"/>
      <c r="CT16" s="28"/>
      <c r="CU16" s="27"/>
      <c r="CV16" s="28"/>
      <c r="CW16" s="28"/>
      <c r="CX16" s="28"/>
      <c r="CY16" s="28"/>
      <c r="CZ16" s="28"/>
      <c r="DA16" s="28"/>
      <c r="DB16" s="28"/>
      <c r="DC16" s="28"/>
      <c r="DD16" s="28"/>
      <c r="DE16" s="28"/>
      <c r="DF16" s="27"/>
      <c r="DG16" s="28"/>
      <c r="DH16" s="28"/>
      <c r="DI16" s="28"/>
      <c r="DJ16" s="28"/>
      <c r="DK16" s="27"/>
      <c r="DL16" s="28"/>
      <c r="DM16" s="28"/>
      <c r="DN16" s="28"/>
      <c r="DO16" s="28"/>
      <c r="DP16" s="28"/>
      <c r="DQ16" s="28"/>
      <c r="DR16" s="28"/>
      <c r="DS16" s="28"/>
      <c r="DT16" s="28"/>
      <c r="DU16" s="28"/>
      <c r="DV16" s="27"/>
      <c r="DW16" s="28"/>
      <c r="DX16" s="28"/>
      <c r="DY16" s="28"/>
      <c r="DZ16" s="28"/>
      <c r="EA16" s="27"/>
      <c r="EB16" s="28"/>
      <c r="EC16" s="28"/>
      <c r="ED16" s="28"/>
      <c r="EE16" s="28"/>
      <c r="EF16" s="28"/>
      <c r="EG16" s="28"/>
      <c r="EH16" s="28"/>
      <c r="EI16" s="28"/>
      <c r="EJ16" s="28"/>
      <c r="EK16" s="28"/>
      <c r="EL16" s="27"/>
      <c r="EM16" s="28"/>
      <c r="EN16" s="28"/>
      <c r="EO16" s="28"/>
      <c r="EP16" s="28"/>
      <c r="EQ16" s="27"/>
      <c r="ER16" s="28"/>
      <c r="ES16" s="28"/>
      <c r="ET16" s="28"/>
      <c r="EU16" s="28"/>
      <c r="EV16" s="28"/>
      <c r="EW16" s="28"/>
      <c r="EX16" s="28"/>
      <c r="EY16" s="28"/>
      <c r="EZ16" s="28"/>
      <c r="FA16" s="28"/>
      <c r="FB16" s="27"/>
      <c r="FC16" s="28"/>
      <c r="FD16" s="28"/>
      <c r="FE16" s="28"/>
      <c r="FF16" s="28"/>
      <c r="FG16" s="27"/>
      <c r="FH16" s="28"/>
      <c r="FI16" s="28"/>
      <c r="FJ16" s="28"/>
      <c r="FK16" s="28"/>
      <c r="FL16" s="28"/>
      <c r="FM16" s="28"/>
      <c r="FN16" s="28"/>
      <c r="FO16" s="28"/>
      <c r="FP16" s="28"/>
      <c r="FQ16" s="28"/>
      <c r="FR16" s="27"/>
      <c r="FS16" s="28"/>
      <c r="FT16" s="28"/>
      <c r="FU16" s="28"/>
      <c r="FV16" s="28"/>
      <c r="FW16" s="27"/>
      <c r="FX16" s="28"/>
      <c r="FY16" s="28"/>
      <c r="FZ16" s="28"/>
      <c r="GA16" s="28"/>
      <c r="GB16" s="28"/>
      <c r="GC16" s="28"/>
      <c r="GD16" s="28"/>
      <c r="GE16" s="28"/>
      <c r="GF16" s="28"/>
      <c r="GG16" s="28"/>
      <c r="GH16" s="27"/>
      <c r="GI16" s="28"/>
      <c r="GJ16" s="28"/>
      <c r="GK16" s="28"/>
      <c r="GL16" s="28"/>
      <c r="GM16" s="27"/>
      <c r="GN16" s="28"/>
      <c r="GO16" s="28"/>
      <c r="GP16" s="28"/>
      <c r="GQ16" s="28"/>
      <c r="GR16" s="28"/>
      <c r="GS16" s="28"/>
      <c r="GT16" s="28"/>
      <c r="GU16" s="28"/>
      <c r="GV16" s="28"/>
      <c r="GW16" s="28"/>
      <c r="GX16" s="27"/>
      <c r="GY16" s="28"/>
      <c r="GZ16" s="28"/>
      <c r="HA16" s="28"/>
      <c r="HB16" s="28"/>
      <c r="HC16" s="27"/>
      <c r="HD16" s="28"/>
      <c r="HE16" s="28"/>
      <c r="HF16" s="28"/>
      <c r="HG16" s="28"/>
      <c r="HH16" s="28"/>
      <c r="HI16" s="28"/>
      <c r="HJ16" s="28"/>
      <c r="HK16" s="28"/>
      <c r="HL16" s="28"/>
      <c r="HM16" s="28"/>
      <c r="HN16" s="27"/>
      <c r="HO16" s="28"/>
      <c r="HP16" s="28"/>
      <c r="HQ16" s="28"/>
      <c r="HR16" s="28"/>
      <c r="HS16" s="27"/>
      <c r="HT16" s="28"/>
      <c r="HU16" s="28"/>
      <c r="HV16" s="28"/>
      <c r="HW16" s="28"/>
      <c r="HX16" s="28"/>
      <c r="HY16" s="28"/>
      <c r="HZ16" s="28"/>
      <c r="IA16" s="28"/>
      <c r="IB16" s="28"/>
      <c r="IC16" s="28"/>
      <c r="ID16" s="27"/>
      <c r="IE16" s="28"/>
      <c r="IF16" s="28"/>
      <c r="IG16" s="28"/>
      <c r="IH16" s="28"/>
      <c r="II16" s="27"/>
      <c r="IJ16" s="28"/>
      <c r="IK16" s="28"/>
      <c r="IL16" s="28"/>
      <c r="IM16" s="28"/>
      <c r="IN16" s="28"/>
      <c r="IO16" s="28"/>
      <c r="IP16" s="28"/>
      <c r="IQ16" s="28"/>
      <c r="IR16" s="28"/>
      <c r="IS16" s="28"/>
    </row>
    <row r="17" spans="1:253" ht="83.25" customHeight="1" thickTop="1" thickBot="1" x14ac:dyDescent="0.3">
      <c r="A17" s="4">
        <v>54</v>
      </c>
      <c r="B17" s="6" t="s">
        <v>25</v>
      </c>
      <c r="C17" s="6" t="s">
        <v>46</v>
      </c>
      <c r="D17" s="6" t="s">
        <v>448</v>
      </c>
      <c r="E17" s="6" t="s">
        <v>447</v>
      </c>
      <c r="F17" s="4">
        <v>1</v>
      </c>
      <c r="G17" s="6" t="s">
        <v>13</v>
      </c>
      <c r="H17" s="6" t="s">
        <v>801</v>
      </c>
      <c r="I17" s="134" t="s">
        <v>663</v>
      </c>
      <c r="J17" s="6" t="s">
        <v>664</v>
      </c>
      <c r="K17" s="6" t="s">
        <v>727</v>
      </c>
      <c r="L17" s="91" t="s">
        <v>11</v>
      </c>
      <c r="M17" s="6" t="s">
        <v>101</v>
      </c>
    </row>
    <row r="18" spans="1:253" s="51" customFormat="1" ht="75.75" customHeight="1" thickTop="1" thickBot="1" x14ac:dyDescent="0.3">
      <c r="A18" s="43">
        <v>54</v>
      </c>
      <c r="B18" s="42" t="s">
        <v>25</v>
      </c>
      <c r="C18" s="42" t="s">
        <v>87</v>
      </c>
      <c r="D18" s="42" t="s">
        <v>451</v>
      </c>
      <c r="E18" s="42" t="s">
        <v>452</v>
      </c>
      <c r="F18" s="135">
        <v>4</v>
      </c>
      <c r="G18" s="42" t="s">
        <v>13</v>
      </c>
      <c r="H18" s="136" t="s">
        <v>803</v>
      </c>
      <c r="I18" s="209" t="s">
        <v>728</v>
      </c>
      <c r="J18" s="136" t="s">
        <v>1</v>
      </c>
      <c r="K18" s="136" t="s">
        <v>1</v>
      </c>
      <c r="L18" s="91" t="s">
        <v>11</v>
      </c>
      <c r="M18" s="42" t="s">
        <v>102</v>
      </c>
      <c r="N18" s="49"/>
      <c r="O18" s="50"/>
      <c r="P18" s="50"/>
      <c r="Q18" s="50"/>
      <c r="R18" s="50"/>
      <c r="S18" s="49"/>
      <c r="T18" s="50"/>
      <c r="U18" s="50"/>
      <c r="V18" s="50"/>
      <c r="W18" s="50"/>
      <c r="X18" s="50"/>
      <c r="Y18" s="50"/>
      <c r="Z18" s="50"/>
      <c r="AA18" s="50"/>
      <c r="AB18" s="50"/>
      <c r="AC18" s="50"/>
      <c r="AD18" s="49"/>
      <c r="AE18" s="50"/>
      <c r="AF18" s="50"/>
      <c r="AG18" s="50"/>
      <c r="AH18" s="50"/>
      <c r="AI18" s="49"/>
      <c r="AJ18" s="50"/>
      <c r="AK18" s="50"/>
      <c r="AL18" s="50"/>
      <c r="AM18" s="50"/>
      <c r="AN18" s="50"/>
      <c r="AO18" s="50"/>
      <c r="AP18" s="50"/>
      <c r="AQ18" s="50"/>
      <c r="AR18" s="50"/>
      <c r="AS18" s="50"/>
      <c r="AT18" s="49"/>
      <c r="AU18" s="50"/>
      <c r="AV18" s="50"/>
      <c r="AW18" s="50"/>
      <c r="AX18" s="50"/>
      <c r="AY18" s="49"/>
      <c r="AZ18" s="50"/>
      <c r="BA18" s="50"/>
      <c r="BB18" s="50"/>
      <c r="BC18" s="50"/>
      <c r="BD18" s="50"/>
      <c r="BE18" s="50"/>
      <c r="BF18" s="50"/>
      <c r="BG18" s="50"/>
      <c r="BH18" s="50"/>
      <c r="BI18" s="50"/>
      <c r="BJ18" s="49"/>
      <c r="BK18" s="50"/>
      <c r="BL18" s="50"/>
      <c r="BM18" s="50"/>
      <c r="BN18" s="50"/>
      <c r="BO18" s="49"/>
      <c r="BP18" s="50"/>
      <c r="BQ18" s="50"/>
      <c r="BR18" s="50"/>
      <c r="BS18" s="50"/>
      <c r="BT18" s="50"/>
      <c r="BU18" s="50"/>
      <c r="BV18" s="50"/>
      <c r="BW18" s="50"/>
      <c r="BX18" s="50"/>
      <c r="BY18" s="50"/>
      <c r="BZ18" s="49"/>
      <c r="CA18" s="50"/>
      <c r="CB18" s="50"/>
      <c r="CC18" s="50"/>
      <c r="CD18" s="50"/>
      <c r="CE18" s="49"/>
      <c r="CF18" s="50"/>
      <c r="CG18" s="50"/>
      <c r="CH18" s="50"/>
      <c r="CI18" s="50"/>
      <c r="CJ18" s="50"/>
      <c r="CK18" s="50"/>
      <c r="CL18" s="50"/>
      <c r="CM18" s="50"/>
      <c r="CN18" s="50"/>
      <c r="CO18" s="50"/>
      <c r="CP18" s="49"/>
      <c r="CQ18" s="50"/>
      <c r="CR18" s="50"/>
      <c r="CS18" s="50"/>
      <c r="CT18" s="50"/>
      <c r="CU18" s="49"/>
      <c r="CV18" s="50"/>
      <c r="CW18" s="50"/>
      <c r="CX18" s="50"/>
      <c r="CY18" s="50"/>
      <c r="CZ18" s="50"/>
      <c r="DA18" s="50"/>
      <c r="DB18" s="50"/>
      <c r="DC18" s="50"/>
      <c r="DD18" s="50"/>
      <c r="DE18" s="50"/>
      <c r="DF18" s="49"/>
      <c r="DG18" s="50"/>
      <c r="DH18" s="50"/>
      <c r="DI18" s="50"/>
      <c r="DJ18" s="50"/>
      <c r="DK18" s="49"/>
      <c r="DL18" s="50"/>
      <c r="DM18" s="50"/>
      <c r="DN18" s="50"/>
      <c r="DO18" s="50"/>
      <c r="DP18" s="50"/>
      <c r="DQ18" s="50"/>
      <c r="DR18" s="50"/>
      <c r="DS18" s="50"/>
      <c r="DT18" s="50"/>
      <c r="DU18" s="50"/>
      <c r="DV18" s="49"/>
      <c r="DW18" s="50"/>
      <c r="DX18" s="50"/>
      <c r="DY18" s="50"/>
      <c r="DZ18" s="50"/>
      <c r="EA18" s="49"/>
      <c r="EB18" s="50"/>
      <c r="EC18" s="50"/>
      <c r="ED18" s="50"/>
      <c r="EE18" s="50"/>
      <c r="EF18" s="50"/>
      <c r="EG18" s="50"/>
      <c r="EH18" s="50"/>
      <c r="EI18" s="50"/>
      <c r="EJ18" s="50"/>
      <c r="EK18" s="50"/>
      <c r="EL18" s="49"/>
      <c r="EM18" s="50"/>
      <c r="EN18" s="50"/>
      <c r="EO18" s="50"/>
      <c r="EP18" s="50"/>
      <c r="EQ18" s="49"/>
      <c r="ER18" s="50"/>
      <c r="ES18" s="50"/>
      <c r="ET18" s="50"/>
      <c r="EU18" s="50"/>
      <c r="EV18" s="50"/>
      <c r="EW18" s="50"/>
      <c r="EX18" s="50"/>
      <c r="EY18" s="50"/>
      <c r="EZ18" s="50"/>
      <c r="FA18" s="50"/>
      <c r="FB18" s="49"/>
      <c r="FC18" s="50"/>
      <c r="FD18" s="50"/>
      <c r="FE18" s="50"/>
      <c r="FF18" s="50"/>
      <c r="FG18" s="49"/>
      <c r="FH18" s="50"/>
      <c r="FI18" s="50"/>
      <c r="FJ18" s="50"/>
      <c r="FK18" s="50"/>
      <c r="FL18" s="50"/>
      <c r="FM18" s="50"/>
      <c r="FN18" s="50"/>
      <c r="FO18" s="50"/>
      <c r="FP18" s="50"/>
      <c r="FQ18" s="50"/>
      <c r="FR18" s="49"/>
      <c r="FS18" s="50"/>
      <c r="FT18" s="50"/>
      <c r="FU18" s="50"/>
      <c r="FV18" s="50"/>
      <c r="FW18" s="49"/>
      <c r="FX18" s="50"/>
      <c r="FY18" s="50"/>
      <c r="FZ18" s="50"/>
      <c r="GA18" s="50"/>
      <c r="GB18" s="50"/>
      <c r="GC18" s="50"/>
      <c r="GD18" s="50"/>
      <c r="GE18" s="50"/>
      <c r="GF18" s="50"/>
      <c r="GG18" s="50"/>
      <c r="GH18" s="49"/>
      <c r="GI18" s="50"/>
      <c r="GJ18" s="50"/>
      <c r="GK18" s="50"/>
      <c r="GL18" s="50"/>
      <c r="GM18" s="49"/>
      <c r="GN18" s="50"/>
      <c r="GO18" s="50"/>
      <c r="GP18" s="50"/>
      <c r="GQ18" s="50"/>
      <c r="GR18" s="50"/>
      <c r="GS18" s="50"/>
      <c r="GT18" s="50"/>
      <c r="GU18" s="50"/>
      <c r="GV18" s="50"/>
      <c r="GW18" s="50"/>
      <c r="GX18" s="49"/>
      <c r="GY18" s="50"/>
      <c r="GZ18" s="50"/>
      <c r="HA18" s="50"/>
      <c r="HB18" s="50"/>
      <c r="HC18" s="49"/>
      <c r="HD18" s="50"/>
      <c r="HE18" s="50"/>
      <c r="HF18" s="50"/>
      <c r="HG18" s="50"/>
      <c r="HH18" s="50"/>
      <c r="HI18" s="50"/>
      <c r="HJ18" s="50"/>
      <c r="HK18" s="50"/>
      <c r="HL18" s="50"/>
      <c r="HM18" s="50"/>
      <c r="HN18" s="49"/>
      <c r="HO18" s="50"/>
      <c r="HP18" s="50"/>
      <c r="HQ18" s="50"/>
      <c r="HR18" s="50"/>
      <c r="HS18" s="49"/>
      <c r="HT18" s="50"/>
      <c r="HU18" s="50"/>
      <c r="HV18" s="50"/>
      <c r="HW18" s="50"/>
      <c r="HX18" s="50"/>
      <c r="HY18" s="50"/>
      <c r="HZ18" s="50"/>
      <c r="IA18" s="50"/>
      <c r="IB18" s="50"/>
      <c r="IC18" s="50"/>
      <c r="ID18" s="49"/>
      <c r="IE18" s="50"/>
      <c r="IF18" s="50"/>
      <c r="IG18" s="50"/>
      <c r="IH18" s="50"/>
      <c r="II18" s="49"/>
      <c r="IJ18" s="50"/>
      <c r="IK18" s="50"/>
      <c r="IL18" s="50"/>
      <c r="IM18" s="50"/>
      <c r="IN18" s="50"/>
      <c r="IO18" s="50"/>
      <c r="IP18" s="50"/>
      <c r="IQ18" s="50"/>
      <c r="IR18" s="50"/>
      <c r="IS18" s="50"/>
    </row>
    <row r="19" spans="1:253" s="51" customFormat="1" ht="63" customHeight="1" thickTop="1" thickBot="1" x14ac:dyDescent="0.3">
      <c r="A19" s="43">
        <v>54</v>
      </c>
      <c r="B19" s="42" t="s">
        <v>25</v>
      </c>
      <c r="C19" s="42" t="s">
        <v>110</v>
      </c>
      <c r="D19" s="42" t="s">
        <v>455</v>
      </c>
      <c r="E19" s="42" t="s">
        <v>452</v>
      </c>
      <c r="F19" s="135">
        <v>4</v>
      </c>
      <c r="G19" s="136" t="s">
        <v>13</v>
      </c>
      <c r="H19" s="136" t="s">
        <v>804</v>
      </c>
      <c r="I19" s="210" t="s">
        <v>729</v>
      </c>
      <c r="J19" s="136" t="s">
        <v>730</v>
      </c>
      <c r="K19" s="136" t="s">
        <v>731</v>
      </c>
      <c r="L19" s="136"/>
      <c r="M19" s="42" t="s">
        <v>103</v>
      </c>
      <c r="N19" s="49"/>
      <c r="O19" s="50"/>
      <c r="P19" s="50"/>
      <c r="Q19" s="50"/>
      <c r="R19" s="50"/>
      <c r="S19" s="49"/>
      <c r="T19" s="50"/>
      <c r="U19" s="50"/>
      <c r="V19" s="50"/>
      <c r="W19" s="50"/>
      <c r="X19" s="50"/>
      <c r="Y19" s="50"/>
      <c r="Z19" s="50"/>
      <c r="AA19" s="50"/>
      <c r="AB19" s="50"/>
      <c r="AC19" s="50"/>
      <c r="AD19" s="49"/>
      <c r="AE19" s="50"/>
      <c r="AF19" s="50"/>
      <c r="AG19" s="50"/>
      <c r="AH19" s="50"/>
      <c r="AI19" s="49"/>
      <c r="AJ19" s="50"/>
      <c r="AK19" s="50"/>
      <c r="AL19" s="50"/>
      <c r="AM19" s="50"/>
      <c r="AN19" s="50"/>
      <c r="AO19" s="50"/>
      <c r="AP19" s="50"/>
      <c r="AQ19" s="50"/>
      <c r="AR19" s="50"/>
      <c r="AS19" s="50"/>
      <c r="AT19" s="49"/>
      <c r="AU19" s="50"/>
      <c r="AV19" s="50"/>
      <c r="AW19" s="50"/>
      <c r="AX19" s="50"/>
      <c r="AY19" s="49"/>
      <c r="AZ19" s="50"/>
      <c r="BA19" s="50"/>
      <c r="BB19" s="50"/>
      <c r="BC19" s="50"/>
      <c r="BD19" s="50"/>
      <c r="BE19" s="50"/>
      <c r="BF19" s="50"/>
      <c r="BG19" s="50"/>
      <c r="BH19" s="50"/>
      <c r="BI19" s="50"/>
      <c r="BJ19" s="49"/>
      <c r="BK19" s="50"/>
      <c r="BL19" s="50"/>
      <c r="BM19" s="50"/>
      <c r="BN19" s="50"/>
      <c r="BO19" s="49"/>
      <c r="BP19" s="50"/>
      <c r="BQ19" s="50"/>
      <c r="BR19" s="50"/>
      <c r="BS19" s="50"/>
      <c r="BT19" s="50"/>
      <c r="BU19" s="50"/>
      <c r="BV19" s="50"/>
      <c r="BW19" s="50"/>
      <c r="BX19" s="50"/>
      <c r="BY19" s="50"/>
      <c r="BZ19" s="49"/>
      <c r="CA19" s="50"/>
      <c r="CB19" s="50"/>
      <c r="CC19" s="50"/>
      <c r="CD19" s="50"/>
      <c r="CE19" s="49"/>
      <c r="CF19" s="50"/>
      <c r="CG19" s="50"/>
      <c r="CH19" s="50"/>
      <c r="CI19" s="50"/>
      <c r="CJ19" s="50"/>
      <c r="CK19" s="50"/>
      <c r="CL19" s="50"/>
      <c r="CM19" s="50"/>
      <c r="CN19" s="50"/>
      <c r="CO19" s="50"/>
      <c r="CP19" s="49"/>
      <c r="CQ19" s="50"/>
      <c r="CR19" s="50"/>
      <c r="CS19" s="50"/>
      <c r="CT19" s="50"/>
      <c r="CU19" s="49"/>
      <c r="CV19" s="50"/>
      <c r="CW19" s="50"/>
      <c r="CX19" s="50"/>
      <c r="CY19" s="50"/>
      <c r="CZ19" s="50"/>
      <c r="DA19" s="50"/>
      <c r="DB19" s="50"/>
      <c r="DC19" s="50"/>
      <c r="DD19" s="50"/>
      <c r="DE19" s="50"/>
      <c r="DF19" s="49"/>
      <c r="DG19" s="50"/>
      <c r="DH19" s="50"/>
      <c r="DI19" s="50"/>
      <c r="DJ19" s="50"/>
      <c r="DK19" s="49"/>
      <c r="DL19" s="50"/>
      <c r="DM19" s="50"/>
      <c r="DN19" s="50"/>
      <c r="DO19" s="50"/>
      <c r="DP19" s="50"/>
      <c r="DQ19" s="50"/>
      <c r="DR19" s="50"/>
      <c r="DS19" s="50"/>
      <c r="DT19" s="50"/>
      <c r="DU19" s="50"/>
      <c r="DV19" s="49"/>
      <c r="DW19" s="50"/>
      <c r="DX19" s="50"/>
      <c r="DY19" s="50"/>
      <c r="DZ19" s="50"/>
      <c r="EA19" s="49"/>
      <c r="EB19" s="50"/>
      <c r="EC19" s="50"/>
      <c r="ED19" s="50"/>
      <c r="EE19" s="50"/>
      <c r="EF19" s="50"/>
      <c r="EG19" s="50"/>
      <c r="EH19" s="50"/>
      <c r="EI19" s="50"/>
      <c r="EJ19" s="50"/>
      <c r="EK19" s="50"/>
      <c r="EL19" s="49"/>
      <c r="EM19" s="50"/>
      <c r="EN19" s="50"/>
      <c r="EO19" s="50"/>
      <c r="EP19" s="50"/>
      <c r="EQ19" s="49"/>
      <c r="ER19" s="50"/>
      <c r="ES19" s="50"/>
      <c r="ET19" s="50"/>
      <c r="EU19" s="50"/>
      <c r="EV19" s="50"/>
      <c r="EW19" s="50"/>
      <c r="EX19" s="50"/>
      <c r="EY19" s="50"/>
      <c r="EZ19" s="50"/>
      <c r="FA19" s="50"/>
      <c r="FB19" s="49"/>
      <c r="FC19" s="50"/>
      <c r="FD19" s="50"/>
      <c r="FE19" s="50"/>
      <c r="FF19" s="50"/>
      <c r="FG19" s="49"/>
      <c r="FH19" s="50"/>
      <c r="FI19" s="50"/>
      <c r="FJ19" s="50"/>
      <c r="FK19" s="50"/>
      <c r="FL19" s="50"/>
      <c r="FM19" s="50"/>
      <c r="FN19" s="50"/>
      <c r="FO19" s="50"/>
      <c r="FP19" s="50"/>
      <c r="FQ19" s="50"/>
      <c r="FR19" s="49"/>
      <c r="FS19" s="50"/>
      <c r="FT19" s="50"/>
      <c r="FU19" s="50"/>
      <c r="FV19" s="50"/>
      <c r="FW19" s="49"/>
      <c r="FX19" s="50"/>
      <c r="FY19" s="50"/>
      <c r="FZ19" s="50"/>
      <c r="GA19" s="50"/>
      <c r="GB19" s="50"/>
      <c r="GC19" s="50"/>
      <c r="GD19" s="50"/>
      <c r="GE19" s="50"/>
      <c r="GF19" s="50"/>
      <c r="GG19" s="50"/>
      <c r="GH19" s="49"/>
      <c r="GI19" s="50"/>
      <c r="GJ19" s="50"/>
      <c r="GK19" s="50"/>
      <c r="GL19" s="50"/>
      <c r="GM19" s="49"/>
      <c r="GN19" s="50"/>
      <c r="GO19" s="50"/>
      <c r="GP19" s="50"/>
      <c r="GQ19" s="50"/>
      <c r="GR19" s="50"/>
      <c r="GS19" s="50"/>
      <c r="GT19" s="50"/>
      <c r="GU19" s="50"/>
      <c r="GV19" s="50"/>
      <c r="GW19" s="50"/>
      <c r="GX19" s="49"/>
      <c r="GY19" s="50"/>
      <c r="GZ19" s="50"/>
      <c r="HA19" s="50"/>
      <c r="HB19" s="50"/>
      <c r="HC19" s="49"/>
      <c r="HD19" s="50"/>
      <c r="HE19" s="50"/>
      <c r="HF19" s="50"/>
      <c r="HG19" s="50"/>
      <c r="HH19" s="50"/>
      <c r="HI19" s="50"/>
      <c r="HJ19" s="50"/>
      <c r="HK19" s="50"/>
      <c r="HL19" s="50"/>
      <c r="HM19" s="50"/>
      <c r="HN19" s="49"/>
      <c r="HO19" s="50"/>
      <c r="HP19" s="50"/>
      <c r="HQ19" s="50"/>
      <c r="HR19" s="50"/>
      <c r="HS19" s="49"/>
      <c r="HT19" s="50"/>
      <c r="HU19" s="50"/>
      <c r="HV19" s="50"/>
      <c r="HW19" s="50"/>
      <c r="HX19" s="50"/>
      <c r="HY19" s="50"/>
      <c r="HZ19" s="50"/>
      <c r="IA19" s="50"/>
      <c r="IB19" s="50"/>
      <c r="IC19" s="50"/>
      <c r="ID19" s="49"/>
      <c r="IE19" s="50"/>
      <c r="IF19" s="50"/>
      <c r="IG19" s="50"/>
      <c r="IH19" s="50"/>
      <c r="II19" s="49"/>
      <c r="IJ19" s="50"/>
      <c r="IK19" s="50"/>
      <c r="IL19" s="50"/>
      <c r="IM19" s="50"/>
      <c r="IN19" s="50"/>
      <c r="IO19" s="50"/>
      <c r="IP19" s="50"/>
      <c r="IQ19" s="50"/>
      <c r="IR19" s="50"/>
      <c r="IS19" s="50"/>
    </row>
    <row r="20" spans="1:253" s="51" customFormat="1" ht="63.75" customHeight="1" thickTop="1" thickBot="1" x14ac:dyDescent="0.3">
      <c r="A20" s="43">
        <v>54</v>
      </c>
      <c r="B20" s="42" t="s">
        <v>25</v>
      </c>
      <c r="C20" s="42" t="s">
        <v>17</v>
      </c>
      <c r="D20" s="42" t="s">
        <v>454</v>
      </c>
      <c r="E20" s="42" t="s">
        <v>452</v>
      </c>
      <c r="F20" s="135">
        <v>4</v>
      </c>
      <c r="G20" s="136" t="s">
        <v>13</v>
      </c>
      <c r="H20" s="136" t="s">
        <v>805</v>
      </c>
      <c r="I20" s="209" t="s">
        <v>732</v>
      </c>
      <c r="J20" s="136" t="s">
        <v>1</v>
      </c>
      <c r="K20" s="136" t="s">
        <v>1</v>
      </c>
      <c r="L20" s="136" t="s">
        <v>13</v>
      </c>
      <c r="M20" s="82" t="s">
        <v>67</v>
      </c>
      <c r="N20" s="49"/>
      <c r="O20" s="50"/>
      <c r="P20" s="50"/>
      <c r="Q20" s="50"/>
      <c r="R20" s="50"/>
      <c r="S20" s="49"/>
      <c r="T20" s="50"/>
      <c r="U20" s="50"/>
      <c r="V20" s="50"/>
      <c r="W20" s="50"/>
      <c r="X20" s="50"/>
      <c r="Y20" s="50"/>
      <c r="Z20" s="50"/>
      <c r="AA20" s="50"/>
      <c r="AB20" s="50"/>
      <c r="AC20" s="50"/>
      <c r="AD20" s="49"/>
      <c r="AE20" s="50"/>
      <c r="AF20" s="50"/>
      <c r="AG20" s="50"/>
      <c r="AH20" s="50"/>
      <c r="AI20" s="49"/>
      <c r="AJ20" s="50"/>
      <c r="AK20" s="50"/>
      <c r="AL20" s="50"/>
      <c r="AM20" s="50"/>
      <c r="AN20" s="50"/>
      <c r="AO20" s="50"/>
      <c r="AP20" s="50"/>
      <c r="AQ20" s="50"/>
      <c r="AR20" s="50"/>
      <c r="AS20" s="50"/>
      <c r="AT20" s="49"/>
      <c r="AU20" s="50"/>
      <c r="AV20" s="50"/>
      <c r="AW20" s="50"/>
      <c r="AX20" s="50"/>
      <c r="AY20" s="49"/>
      <c r="AZ20" s="50"/>
      <c r="BA20" s="50"/>
      <c r="BB20" s="50"/>
      <c r="BC20" s="50"/>
      <c r="BD20" s="50"/>
      <c r="BE20" s="50"/>
      <c r="BF20" s="50"/>
      <c r="BG20" s="50"/>
      <c r="BH20" s="50"/>
      <c r="BI20" s="50"/>
      <c r="BJ20" s="49"/>
      <c r="BK20" s="50"/>
      <c r="BL20" s="50"/>
      <c r="BM20" s="50"/>
      <c r="BN20" s="50"/>
      <c r="BO20" s="49"/>
      <c r="BP20" s="50"/>
      <c r="BQ20" s="50"/>
      <c r="BR20" s="50"/>
      <c r="BS20" s="50"/>
      <c r="BT20" s="50"/>
      <c r="BU20" s="50"/>
      <c r="BV20" s="50"/>
      <c r="BW20" s="50"/>
      <c r="BX20" s="50"/>
      <c r="BY20" s="50"/>
      <c r="BZ20" s="49"/>
      <c r="CA20" s="50"/>
      <c r="CB20" s="50"/>
      <c r="CC20" s="50"/>
      <c r="CD20" s="50"/>
      <c r="CE20" s="49"/>
      <c r="CF20" s="50"/>
      <c r="CG20" s="50"/>
      <c r="CH20" s="50"/>
      <c r="CI20" s="50"/>
      <c r="CJ20" s="50"/>
      <c r="CK20" s="50"/>
      <c r="CL20" s="50"/>
      <c r="CM20" s="50"/>
      <c r="CN20" s="50"/>
      <c r="CO20" s="50"/>
      <c r="CP20" s="49"/>
      <c r="CQ20" s="50"/>
      <c r="CR20" s="50"/>
      <c r="CS20" s="50"/>
      <c r="CT20" s="50"/>
      <c r="CU20" s="49"/>
      <c r="CV20" s="50"/>
      <c r="CW20" s="50"/>
      <c r="CX20" s="50"/>
      <c r="CY20" s="50"/>
      <c r="CZ20" s="50"/>
      <c r="DA20" s="50"/>
      <c r="DB20" s="50"/>
      <c r="DC20" s="50"/>
      <c r="DD20" s="50"/>
      <c r="DE20" s="50"/>
      <c r="DF20" s="49"/>
      <c r="DG20" s="50"/>
      <c r="DH20" s="50"/>
      <c r="DI20" s="50"/>
      <c r="DJ20" s="50"/>
      <c r="DK20" s="49"/>
      <c r="DL20" s="50"/>
      <c r="DM20" s="50"/>
      <c r="DN20" s="50"/>
      <c r="DO20" s="50"/>
      <c r="DP20" s="50"/>
      <c r="DQ20" s="50"/>
      <c r="DR20" s="50"/>
      <c r="DS20" s="50"/>
      <c r="DT20" s="50"/>
      <c r="DU20" s="50"/>
      <c r="DV20" s="49"/>
      <c r="DW20" s="50"/>
      <c r="DX20" s="50"/>
      <c r="DY20" s="50"/>
      <c r="DZ20" s="50"/>
      <c r="EA20" s="49"/>
      <c r="EB20" s="50"/>
      <c r="EC20" s="50"/>
      <c r="ED20" s="50"/>
      <c r="EE20" s="50"/>
      <c r="EF20" s="50"/>
      <c r="EG20" s="50"/>
      <c r="EH20" s="50"/>
      <c r="EI20" s="50"/>
      <c r="EJ20" s="50"/>
      <c r="EK20" s="50"/>
      <c r="EL20" s="49"/>
      <c r="EM20" s="50"/>
      <c r="EN20" s="50"/>
      <c r="EO20" s="50"/>
      <c r="EP20" s="50"/>
      <c r="EQ20" s="49"/>
      <c r="ER20" s="50"/>
      <c r="ES20" s="50"/>
      <c r="ET20" s="50"/>
      <c r="EU20" s="50"/>
      <c r="EV20" s="50"/>
      <c r="EW20" s="50"/>
      <c r="EX20" s="50"/>
      <c r="EY20" s="50"/>
      <c r="EZ20" s="50"/>
      <c r="FA20" s="50"/>
      <c r="FB20" s="49"/>
      <c r="FC20" s="50"/>
      <c r="FD20" s="50"/>
      <c r="FE20" s="50"/>
      <c r="FF20" s="50"/>
      <c r="FG20" s="49"/>
      <c r="FH20" s="50"/>
      <c r="FI20" s="50"/>
      <c r="FJ20" s="50"/>
      <c r="FK20" s="50"/>
      <c r="FL20" s="50"/>
      <c r="FM20" s="50"/>
      <c r="FN20" s="50"/>
      <c r="FO20" s="50"/>
      <c r="FP20" s="50"/>
      <c r="FQ20" s="50"/>
      <c r="FR20" s="49"/>
      <c r="FS20" s="50"/>
      <c r="FT20" s="50"/>
      <c r="FU20" s="50"/>
      <c r="FV20" s="50"/>
      <c r="FW20" s="49"/>
      <c r="FX20" s="50"/>
      <c r="FY20" s="50"/>
      <c r="FZ20" s="50"/>
      <c r="GA20" s="50"/>
      <c r="GB20" s="50"/>
      <c r="GC20" s="50"/>
      <c r="GD20" s="50"/>
      <c r="GE20" s="50"/>
      <c r="GF20" s="50"/>
      <c r="GG20" s="50"/>
      <c r="GH20" s="49"/>
      <c r="GI20" s="50"/>
      <c r="GJ20" s="50"/>
      <c r="GK20" s="50"/>
      <c r="GL20" s="50"/>
      <c r="GM20" s="49"/>
      <c r="GN20" s="50"/>
      <c r="GO20" s="50"/>
      <c r="GP20" s="50"/>
      <c r="GQ20" s="50"/>
      <c r="GR20" s="50"/>
      <c r="GS20" s="50"/>
      <c r="GT20" s="50"/>
      <c r="GU20" s="50"/>
      <c r="GV20" s="50"/>
      <c r="GW20" s="50"/>
      <c r="GX20" s="49"/>
      <c r="GY20" s="50"/>
      <c r="GZ20" s="50"/>
      <c r="HA20" s="50"/>
      <c r="HB20" s="50"/>
      <c r="HC20" s="49"/>
      <c r="HD20" s="50"/>
      <c r="HE20" s="50"/>
      <c r="HF20" s="50"/>
      <c r="HG20" s="50"/>
      <c r="HH20" s="50"/>
      <c r="HI20" s="50"/>
      <c r="HJ20" s="50"/>
      <c r="HK20" s="50"/>
      <c r="HL20" s="50"/>
      <c r="HM20" s="50"/>
      <c r="HN20" s="49"/>
      <c r="HO20" s="50"/>
      <c r="HP20" s="50"/>
      <c r="HQ20" s="50"/>
      <c r="HR20" s="50"/>
      <c r="HS20" s="49"/>
      <c r="HT20" s="50"/>
      <c r="HU20" s="50"/>
      <c r="HV20" s="50"/>
      <c r="HW20" s="50"/>
      <c r="HX20" s="50"/>
      <c r="HY20" s="50"/>
      <c r="HZ20" s="50"/>
      <c r="IA20" s="50"/>
      <c r="IB20" s="50"/>
      <c r="IC20" s="50"/>
      <c r="ID20" s="49"/>
      <c r="IE20" s="50"/>
      <c r="IF20" s="50"/>
      <c r="IG20" s="50"/>
      <c r="IH20" s="50"/>
      <c r="II20" s="49"/>
      <c r="IJ20" s="50"/>
      <c r="IK20" s="50"/>
      <c r="IL20" s="50"/>
      <c r="IM20" s="50"/>
      <c r="IN20" s="50"/>
      <c r="IO20" s="50"/>
      <c r="IP20" s="50"/>
      <c r="IQ20" s="50"/>
      <c r="IR20" s="50"/>
      <c r="IS20" s="50"/>
    </row>
    <row r="21" spans="1:253" s="51" customFormat="1" ht="63" customHeight="1" thickTop="1" thickBot="1" x14ac:dyDescent="0.3">
      <c r="A21" s="43"/>
      <c r="B21" s="42" t="s">
        <v>25</v>
      </c>
      <c r="C21" s="42" t="s">
        <v>17</v>
      </c>
      <c r="D21" s="42" t="s">
        <v>453</v>
      </c>
      <c r="E21" s="42" t="s">
        <v>452</v>
      </c>
      <c r="F21" s="135">
        <v>4</v>
      </c>
      <c r="G21" s="136" t="s">
        <v>13</v>
      </c>
      <c r="H21" s="136" t="s">
        <v>806</v>
      </c>
      <c r="I21" s="209" t="s">
        <v>732</v>
      </c>
      <c r="J21" s="136" t="s">
        <v>1</v>
      </c>
      <c r="K21" s="136" t="s">
        <v>1</v>
      </c>
      <c r="L21" s="136" t="s">
        <v>13</v>
      </c>
      <c r="M21" s="42" t="s">
        <v>67</v>
      </c>
      <c r="N21" s="49"/>
      <c r="O21" s="50"/>
      <c r="P21" s="50"/>
      <c r="Q21" s="50"/>
      <c r="R21" s="50"/>
      <c r="S21" s="49"/>
      <c r="T21" s="50"/>
      <c r="U21" s="50"/>
      <c r="V21" s="50"/>
      <c r="W21" s="50"/>
      <c r="X21" s="50"/>
      <c r="Y21" s="50"/>
      <c r="Z21" s="50"/>
      <c r="AA21" s="50"/>
      <c r="AB21" s="50"/>
      <c r="AC21" s="50"/>
      <c r="AD21" s="49"/>
      <c r="AE21" s="50"/>
      <c r="AF21" s="50"/>
      <c r="AG21" s="50"/>
      <c r="AH21" s="50"/>
      <c r="AI21" s="49"/>
      <c r="AJ21" s="50"/>
      <c r="AK21" s="50"/>
      <c r="AL21" s="50"/>
      <c r="AM21" s="50"/>
      <c r="AN21" s="50"/>
      <c r="AO21" s="50"/>
      <c r="AP21" s="50"/>
      <c r="AQ21" s="50"/>
      <c r="AR21" s="50"/>
      <c r="AS21" s="50"/>
      <c r="AT21" s="49"/>
      <c r="AU21" s="50"/>
      <c r="AV21" s="50"/>
      <c r="AW21" s="50"/>
      <c r="AX21" s="50"/>
      <c r="AY21" s="49"/>
      <c r="AZ21" s="50"/>
      <c r="BA21" s="50"/>
      <c r="BB21" s="50"/>
      <c r="BC21" s="50"/>
      <c r="BD21" s="50"/>
      <c r="BE21" s="50"/>
      <c r="BF21" s="50"/>
      <c r="BG21" s="50"/>
      <c r="BH21" s="50"/>
      <c r="BI21" s="50"/>
      <c r="BJ21" s="49"/>
      <c r="BK21" s="50"/>
      <c r="BL21" s="50"/>
      <c r="BM21" s="50"/>
      <c r="BN21" s="50"/>
      <c r="BO21" s="49"/>
      <c r="BP21" s="50"/>
      <c r="BQ21" s="50"/>
      <c r="BR21" s="50"/>
      <c r="BS21" s="50"/>
      <c r="BT21" s="50"/>
      <c r="BU21" s="50"/>
      <c r="BV21" s="50"/>
      <c r="BW21" s="50"/>
      <c r="BX21" s="50"/>
      <c r="BY21" s="50"/>
      <c r="BZ21" s="49"/>
      <c r="CA21" s="50"/>
      <c r="CB21" s="50"/>
      <c r="CC21" s="50"/>
      <c r="CD21" s="50"/>
      <c r="CE21" s="49"/>
      <c r="CF21" s="50"/>
      <c r="CG21" s="50"/>
      <c r="CH21" s="50"/>
      <c r="CI21" s="50"/>
      <c r="CJ21" s="50"/>
      <c r="CK21" s="50"/>
      <c r="CL21" s="50"/>
      <c r="CM21" s="50"/>
      <c r="CN21" s="50"/>
      <c r="CO21" s="50"/>
      <c r="CP21" s="49"/>
      <c r="CQ21" s="50"/>
      <c r="CR21" s="50"/>
      <c r="CS21" s="50"/>
      <c r="CT21" s="50"/>
      <c r="CU21" s="49"/>
      <c r="CV21" s="50"/>
      <c r="CW21" s="50"/>
      <c r="CX21" s="50"/>
      <c r="CY21" s="50"/>
      <c r="CZ21" s="50"/>
      <c r="DA21" s="50"/>
      <c r="DB21" s="50"/>
      <c r="DC21" s="50"/>
      <c r="DD21" s="50"/>
      <c r="DE21" s="50"/>
      <c r="DF21" s="49"/>
      <c r="DG21" s="50"/>
      <c r="DH21" s="50"/>
      <c r="DI21" s="50"/>
      <c r="DJ21" s="50"/>
      <c r="DK21" s="49"/>
      <c r="DL21" s="50"/>
      <c r="DM21" s="50"/>
      <c r="DN21" s="50"/>
      <c r="DO21" s="50"/>
      <c r="DP21" s="50"/>
      <c r="DQ21" s="50"/>
      <c r="DR21" s="50"/>
      <c r="DS21" s="50"/>
      <c r="DT21" s="50"/>
      <c r="DU21" s="50"/>
      <c r="DV21" s="49"/>
      <c r="DW21" s="50"/>
      <c r="DX21" s="50"/>
      <c r="DY21" s="50"/>
      <c r="DZ21" s="50"/>
      <c r="EA21" s="49"/>
      <c r="EB21" s="50"/>
      <c r="EC21" s="50"/>
      <c r="ED21" s="50"/>
      <c r="EE21" s="50"/>
      <c r="EF21" s="50"/>
      <c r="EG21" s="50"/>
      <c r="EH21" s="50"/>
      <c r="EI21" s="50"/>
      <c r="EJ21" s="50"/>
      <c r="EK21" s="50"/>
      <c r="EL21" s="49"/>
      <c r="EM21" s="50"/>
      <c r="EN21" s="50"/>
      <c r="EO21" s="50"/>
      <c r="EP21" s="50"/>
      <c r="EQ21" s="49"/>
      <c r="ER21" s="50"/>
      <c r="ES21" s="50"/>
      <c r="ET21" s="50"/>
      <c r="EU21" s="50"/>
      <c r="EV21" s="50"/>
      <c r="EW21" s="50"/>
      <c r="EX21" s="50"/>
      <c r="EY21" s="50"/>
      <c r="EZ21" s="50"/>
      <c r="FA21" s="50"/>
      <c r="FB21" s="49"/>
      <c r="FC21" s="50"/>
      <c r="FD21" s="50"/>
      <c r="FE21" s="50"/>
      <c r="FF21" s="50"/>
      <c r="FG21" s="49"/>
      <c r="FH21" s="50"/>
      <c r="FI21" s="50"/>
      <c r="FJ21" s="50"/>
      <c r="FK21" s="50"/>
      <c r="FL21" s="50"/>
      <c r="FM21" s="50"/>
      <c r="FN21" s="50"/>
      <c r="FO21" s="50"/>
      <c r="FP21" s="50"/>
      <c r="FQ21" s="50"/>
      <c r="FR21" s="49"/>
      <c r="FS21" s="50"/>
      <c r="FT21" s="50"/>
      <c r="FU21" s="50"/>
      <c r="FV21" s="50"/>
      <c r="FW21" s="49"/>
      <c r="FX21" s="50"/>
      <c r="FY21" s="50"/>
      <c r="FZ21" s="50"/>
      <c r="GA21" s="50"/>
      <c r="GB21" s="50"/>
      <c r="GC21" s="50"/>
      <c r="GD21" s="50"/>
      <c r="GE21" s="50"/>
      <c r="GF21" s="50"/>
      <c r="GG21" s="50"/>
      <c r="GH21" s="49"/>
      <c r="GI21" s="50"/>
      <c r="GJ21" s="50"/>
      <c r="GK21" s="50"/>
      <c r="GL21" s="50"/>
      <c r="GM21" s="49"/>
      <c r="GN21" s="50"/>
      <c r="GO21" s="50"/>
      <c r="GP21" s="50"/>
      <c r="GQ21" s="50"/>
      <c r="GR21" s="50"/>
      <c r="GS21" s="50"/>
      <c r="GT21" s="50"/>
      <c r="GU21" s="50"/>
      <c r="GV21" s="50"/>
      <c r="GW21" s="50"/>
      <c r="GX21" s="49"/>
      <c r="GY21" s="50"/>
      <c r="GZ21" s="50"/>
      <c r="HA21" s="50"/>
      <c r="HB21" s="50"/>
      <c r="HC21" s="49"/>
      <c r="HD21" s="50"/>
      <c r="HE21" s="50"/>
      <c r="HF21" s="50"/>
      <c r="HG21" s="50"/>
      <c r="HH21" s="50"/>
      <c r="HI21" s="50"/>
      <c r="HJ21" s="50"/>
      <c r="HK21" s="50"/>
      <c r="HL21" s="50"/>
      <c r="HM21" s="50"/>
      <c r="HN21" s="49"/>
      <c r="HO21" s="50"/>
      <c r="HP21" s="50"/>
      <c r="HQ21" s="50"/>
      <c r="HR21" s="50"/>
      <c r="HS21" s="49"/>
      <c r="HT21" s="50"/>
      <c r="HU21" s="50"/>
      <c r="HV21" s="50"/>
      <c r="HW21" s="50"/>
      <c r="HX21" s="50"/>
      <c r="HY21" s="50"/>
      <c r="HZ21" s="50"/>
      <c r="IA21" s="50"/>
      <c r="IB21" s="50"/>
      <c r="IC21" s="50"/>
      <c r="ID21" s="49"/>
      <c r="IE21" s="50"/>
      <c r="IF21" s="50"/>
      <c r="IG21" s="50"/>
      <c r="IH21" s="50"/>
      <c r="II21" s="49"/>
      <c r="IJ21" s="50"/>
      <c r="IK21" s="50"/>
      <c r="IL21" s="50"/>
      <c r="IM21" s="50"/>
      <c r="IN21" s="50"/>
      <c r="IO21" s="50"/>
      <c r="IP21" s="50"/>
      <c r="IQ21" s="50"/>
      <c r="IR21" s="50"/>
      <c r="IS21" s="50"/>
    </row>
    <row r="22" spans="1:253" s="48" customFormat="1" ht="75" customHeight="1" thickTop="1" thickBot="1" x14ac:dyDescent="0.3">
      <c r="A22" s="43">
        <v>54</v>
      </c>
      <c r="B22" s="42" t="s">
        <v>25</v>
      </c>
      <c r="C22" s="42" t="s">
        <v>87</v>
      </c>
      <c r="D22" s="75" t="s">
        <v>457</v>
      </c>
      <c r="E22" s="42" t="s">
        <v>456</v>
      </c>
      <c r="F22" s="43">
        <v>4</v>
      </c>
      <c r="G22" s="6" t="s">
        <v>13</v>
      </c>
      <c r="H22" s="43" t="s">
        <v>807</v>
      </c>
      <c r="I22" s="208" t="s">
        <v>733</v>
      </c>
      <c r="J22" s="136" t="s">
        <v>1</v>
      </c>
      <c r="K22" s="136" t="s">
        <v>1</v>
      </c>
      <c r="L22" s="136" t="s">
        <v>13</v>
      </c>
      <c r="M22" s="42" t="s">
        <v>87</v>
      </c>
    </row>
    <row r="23" spans="1:253" s="53" customFormat="1" ht="57.75" thickTop="1" thickBot="1" x14ac:dyDescent="0.3">
      <c r="A23" s="44">
        <v>54</v>
      </c>
      <c r="B23" s="45" t="s">
        <v>25</v>
      </c>
      <c r="C23" s="45" t="s">
        <v>87</v>
      </c>
      <c r="D23" s="89" t="s">
        <v>458</v>
      </c>
      <c r="E23" s="45" t="s">
        <v>459</v>
      </c>
      <c r="F23" s="90">
        <v>0.5</v>
      </c>
      <c r="G23" s="91" t="s">
        <v>13</v>
      </c>
      <c r="H23" s="90">
        <v>0.5</v>
      </c>
      <c r="I23" s="212" t="s">
        <v>827</v>
      </c>
      <c r="J23" s="90" t="s">
        <v>829</v>
      </c>
      <c r="K23" s="90" t="s">
        <v>830</v>
      </c>
      <c r="L23" s="136" t="s">
        <v>13</v>
      </c>
      <c r="M23" s="45" t="s">
        <v>6</v>
      </c>
    </row>
    <row r="24" spans="1:253" s="93" customFormat="1" ht="107.25" customHeight="1" thickTop="1" thickBot="1" x14ac:dyDescent="0.3">
      <c r="A24" s="44">
        <v>54</v>
      </c>
      <c r="B24" s="44" t="s">
        <v>25</v>
      </c>
      <c r="C24" s="44" t="s">
        <v>111</v>
      </c>
      <c r="D24" s="89" t="s">
        <v>520</v>
      </c>
      <c r="E24" s="45" t="s">
        <v>160</v>
      </c>
      <c r="F24" s="90">
        <v>0.12</v>
      </c>
      <c r="G24" s="91" t="s">
        <v>13</v>
      </c>
      <c r="H24" s="90">
        <v>1</v>
      </c>
      <c r="I24" s="212" t="s">
        <v>832</v>
      </c>
      <c r="J24" s="90" t="s">
        <v>831</v>
      </c>
      <c r="K24" s="90" t="s">
        <v>828</v>
      </c>
      <c r="L24" s="136" t="s">
        <v>13</v>
      </c>
      <c r="M24" s="45" t="s">
        <v>113</v>
      </c>
    </row>
    <row r="25" spans="1:253" s="48" customFormat="1" ht="106.5" customHeight="1" thickTop="1" thickBot="1" x14ac:dyDescent="0.3">
      <c r="A25" s="43">
        <v>54</v>
      </c>
      <c r="B25" s="43" t="s">
        <v>25</v>
      </c>
      <c r="C25" s="43" t="s">
        <v>111</v>
      </c>
      <c r="D25" s="75" t="s">
        <v>460</v>
      </c>
      <c r="E25" s="42" t="s">
        <v>161</v>
      </c>
      <c r="F25" s="137">
        <v>0.78</v>
      </c>
      <c r="G25" s="6" t="s">
        <v>13</v>
      </c>
      <c r="H25" s="76" t="s">
        <v>1</v>
      </c>
      <c r="I25" s="137" t="s">
        <v>1</v>
      </c>
      <c r="J25" s="76" t="s">
        <v>1</v>
      </c>
      <c r="K25" s="76" t="s">
        <v>1</v>
      </c>
      <c r="L25" s="136" t="s">
        <v>13</v>
      </c>
      <c r="M25" s="42" t="s">
        <v>113</v>
      </c>
    </row>
    <row r="26" spans="1:253" s="53" customFormat="1" ht="83.25" customHeight="1" thickTop="1" thickBot="1" x14ac:dyDescent="0.3">
      <c r="A26" s="44">
        <v>54</v>
      </c>
      <c r="B26" s="45" t="s">
        <v>25</v>
      </c>
      <c r="C26" s="44" t="s">
        <v>112</v>
      </c>
      <c r="D26" s="89" t="s">
        <v>461</v>
      </c>
      <c r="E26" s="45" t="s">
        <v>162</v>
      </c>
      <c r="F26" s="90">
        <v>1</v>
      </c>
      <c r="G26" s="91" t="s">
        <v>13</v>
      </c>
      <c r="H26" s="90">
        <v>0.5</v>
      </c>
      <c r="I26" s="211" t="s">
        <v>833</v>
      </c>
      <c r="J26" s="90" t="s">
        <v>834</v>
      </c>
      <c r="K26" s="90" t="s">
        <v>835</v>
      </c>
      <c r="L26" s="136" t="s">
        <v>13</v>
      </c>
      <c r="M26" s="45" t="s">
        <v>103</v>
      </c>
    </row>
    <row r="27" spans="1:253" ht="15.75" thickTop="1" x14ac:dyDescent="0.25">
      <c r="D27" s="23"/>
    </row>
    <row r="28" spans="1:253" x14ac:dyDescent="0.25">
      <c r="D28" s="23"/>
    </row>
    <row r="29" spans="1:253" x14ac:dyDescent="0.25">
      <c r="D29" s="23"/>
    </row>
    <row r="30" spans="1:253" x14ac:dyDescent="0.25">
      <c r="D30" s="23"/>
    </row>
    <row r="31" spans="1:253" x14ac:dyDescent="0.25">
      <c r="D31" s="23"/>
    </row>
    <row r="32" spans="1:253" x14ac:dyDescent="0.25">
      <c r="D32" s="23"/>
    </row>
    <row r="33" spans="4:4" x14ac:dyDescent="0.25">
      <c r="D33" s="23"/>
    </row>
    <row r="34" spans="4:4" x14ac:dyDescent="0.25">
      <c r="D34" s="23"/>
    </row>
    <row r="35" spans="4:4" x14ac:dyDescent="0.25">
      <c r="D35" s="23"/>
    </row>
    <row r="36" spans="4:4" x14ac:dyDescent="0.25">
      <c r="D36" s="23"/>
    </row>
    <row r="37" spans="4:4" x14ac:dyDescent="0.25">
      <c r="D37" s="23"/>
    </row>
    <row r="38" spans="4:4" x14ac:dyDescent="0.25">
      <c r="D38" s="23"/>
    </row>
  </sheetData>
  <mergeCells count="3">
    <mergeCell ref="A1:M1"/>
    <mergeCell ref="A2:M2"/>
    <mergeCell ref="A3:M3"/>
  </mergeCells>
  <pageMargins left="0.70866141732283472" right="0.70866141732283472" top="0.74803149606299213" bottom="0.74803149606299213" header="0.31496062992125984" footer="0.31496062992125984"/>
  <pageSetup paperSize="9" scale="75" fitToHeight="0" orientation="landscape" r:id="rId1"/>
  <headerFooter>
    <oddFooter>&amp;L&amp;N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6"/>
  <sheetViews>
    <sheetView view="pageBreakPreview" topLeftCell="B1" zoomScale="90" zoomScaleNormal="100" zoomScaleSheetLayoutView="90" workbookViewId="0">
      <pane xSplit="9" ySplit="3" topLeftCell="K24" activePane="bottomRight" state="frozen"/>
      <selection activeCell="F52" sqref="F52"/>
      <selection pane="topRight" activeCell="F52" sqref="F52"/>
      <selection pane="bottomLeft" activeCell="F52" sqref="F52"/>
      <selection pane="bottomRight" activeCell="F52" sqref="F52"/>
    </sheetView>
  </sheetViews>
  <sheetFormatPr defaultRowHeight="15" x14ac:dyDescent="0.25"/>
  <cols>
    <col min="1" max="1" width="5.5703125" style="9" customWidth="1"/>
    <col min="2" max="2" width="14.28515625" customWidth="1"/>
    <col min="3" max="3" width="12.42578125" style="25" customWidth="1"/>
    <col min="4" max="4" width="15" customWidth="1"/>
    <col min="5" max="5" width="16.28515625" customWidth="1"/>
    <col min="6" max="6" width="13.28515625" style="85" customWidth="1"/>
    <col min="7" max="7" width="10.85546875" customWidth="1"/>
    <col min="8" max="8" width="13.140625" customWidth="1"/>
    <col min="9" max="9" width="15.140625" style="23" customWidth="1"/>
    <col min="10" max="12" width="15.140625" style="41" customWidth="1"/>
    <col min="13" max="13" width="18.5703125" style="23" customWidth="1"/>
    <col min="14" max="14" width="13.42578125" customWidth="1"/>
  </cols>
  <sheetData>
    <row r="1" spans="1:15" ht="29.25" customHeight="1" thickTop="1" thickBot="1" x14ac:dyDescent="0.3">
      <c r="A1" s="524" t="s">
        <v>52</v>
      </c>
      <c r="B1" s="525"/>
      <c r="C1" s="525"/>
      <c r="D1" s="525"/>
      <c r="E1" s="525"/>
      <c r="F1" s="525"/>
      <c r="G1" s="525"/>
      <c r="H1" s="525"/>
      <c r="I1" s="525"/>
      <c r="J1" s="525"/>
      <c r="K1" s="525"/>
      <c r="L1" s="525"/>
      <c r="M1" s="525"/>
      <c r="N1" s="526"/>
    </row>
    <row r="2" spans="1:15" ht="26.25" customHeight="1" thickTop="1" thickBot="1" x14ac:dyDescent="0.3">
      <c r="A2" s="532" t="s">
        <v>33</v>
      </c>
      <c r="B2" s="533"/>
      <c r="C2" s="533"/>
      <c r="D2" s="533"/>
      <c r="E2" s="533"/>
      <c r="F2" s="533"/>
      <c r="G2" s="533"/>
      <c r="H2" s="533"/>
      <c r="I2" s="533"/>
      <c r="J2" s="533"/>
      <c r="K2" s="533"/>
      <c r="L2" s="533"/>
      <c r="M2" s="533"/>
      <c r="N2" s="534"/>
    </row>
    <row r="3" spans="1:15" s="12" customFormat="1" ht="54.75" customHeight="1" thickTop="1" thickBot="1" x14ac:dyDescent="0.3">
      <c r="A3" s="529" t="s">
        <v>2</v>
      </c>
      <c r="B3" s="529" t="s">
        <v>0</v>
      </c>
      <c r="C3" s="529" t="s">
        <v>48</v>
      </c>
      <c r="D3" s="529" t="s">
        <v>37</v>
      </c>
      <c r="E3" s="529" t="s">
        <v>3</v>
      </c>
      <c r="F3" s="530" t="s">
        <v>117</v>
      </c>
      <c r="G3" s="531" t="s">
        <v>4</v>
      </c>
      <c r="H3" s="531" t="s">
        <v>5</v>
      </c>
      <c r="I3" s="522" t="s">
        <v>719</v>
      </c>
      <c r="J3" s="531" t="s">
        <v>749</v>
      </c>
      <c r="K3" s="214" t="s">
        <v>635</v>
      </c>
      <c r="L3" s="214" t="s">
        <v>636</v>
      </c>
      <c r="M3" s="182" t="s">
        <v>637</v>
      </c>
      <c r="N3" s="527" t="s">
        <v>35</v>
      </c>
    </row>
    <row r="4" spans="1:15" s="12" customFormat="1" ht="14.25" customHeight="1" thickTop="1" thickBot="1" x14ac:dyDescent="0.3">
      <c r="A4" s="529"/>
      <c r="B4" s="529"/>
      <c r="C4" s="529"/>
      <c r="D4" s="529"/>
      <c r="E4" s="529"/>
      <c r="F4" s="530"/>
      <c r="G4" s="531"/>
      <c r="H4" s="531"/>
      <c r="I4" s="523"/>
      <c r="J4" s="531"/>
      <c r="K4" s="215"/>
      <c r="L4" s="215"/>
      <c r="M4" s="183"/>
      <c r="N4" s="528"/>
    </row>
    <row r="5" spans="1:15" s="97" customFormat="1" ht="67.5" customHeight="1" thickTop="1" thickBot="1" x14ac:dyDescent="0.3">
      <c r="A5" s="156">
        <v>46</v>
      </c>
      <c r="B5" s="157" t="s">
        <v>25</v>
      </c>
      <c r="C5" s="156" t="s">
        <v>75</v>
      </c>
      <c r="D5" s="157" t="s">
        <v>166</v>
      </c>
      <c r="E5" s="158" t="s">
        <v>124</v>
      </c>
      <c r="F5" s="156">
        <v>9000</v>
      </c>
      <c r="G5" s="158" t="s">
        <v>150</v>
      </c>
      <c r="H5" s="158" t="s">
        <v>149</v>
      </c>
      <c r="I5" s="156">
        <v>2</v>
      </c>
      <c r="J5" s="180" t="s">
        <v>735</v>
      </c>
      <c r="K5" s="158" t="s">
        <v>1</v>
      </c>
      <c r="L5" s="158" t="s">
        <v>1</v>
      </c>
      <c r="M5" s="205">
        <v>7895</v>
      </c>
      <c r="N5" s="156" t="s">
        <v>6</v>
      </c>
      <c r="O5" s="53"/>
    </row>
    <row r="6" spans="1:15" s="94" customFormat="1" ht="81.75" customHeight="1" thickTop="1" thickBot="1" x14ac:dyDescent="0.3">
      <c r="A6" s="156">
        <v>46</v>
      </c>
      <c r="B6" s="159" t="s">
        <v>25</v>
      </c>
      <c r="C6" s="156" t="s">
        <v>76</v>
      </c>
      <c r="D6" s="158" t="s">
        <v>165</v>
      </c>
      <c r="E6" s="158" t="s">
        <v>125</v>
      </c>
      <c r="F6" s="160">
        <v>40000</v>
      </c>
      <c r="G6" s="158" t="s">
        <v>150</v>
      </c>
      <c r="H6" s="158" t="s">
        <v>149</v>
      </c>
      <c r="I6" s="158" t="s">
        <v>808</v>
      </c>
      <c r="J6" s="158" t="s">
        <v>736</v>
      </c>
      <c r="K6" s="216" t="s">
        <v>1</v>
      </c>
      <c r="L6" s="216" t="s">
        <v>1</v>
      </c>
      <c r="M6" s="205">
        <v>1200</v>
      </c>
      <c r="N6" s="156" t="s">
        <v>17</v>
      </c>
      <c r="O6" s="13"/>
    </row>
    <row r="7" spans="1:15" s="94" customFormat="1" ht="92.25" customHeight="1" thickTop="1" thickBot="1" x14ac:dyDescent="0.3">
      <c r="A7" s="156">
        <v>46</v>
      </c>
      <c r="B7" s="159" t="s">
        <v>25</v>
      </c>
      <c r="C7" s="156" t="s">
        <v>76</v>
      </c>
      <c r="D7" s="158" t="s">
        <v>491</v>
      </c>
      <c r="E7" s="158" t="s">
        <v>126</v>
      </c>
      <c r="F7" s="160">
        <v>12000</v>
      </c>
      <c r="G7" s="158" t="s">
        <v>150</v>
      </c>
      <c r="H7" s="158" t="s">
        <v>173</v>
      </c>
      <c r="I7" s="158" t="s">
        <v>490</v>
      </c>
      <c r="J7" s="158" t="s">
        <v>737</v>
      </c>
      <c r="K7" s="158" t="s">
        <v>743</v>
      </c>
      <c r="L7" s="218" t="s">
        <v>836</v>
      </c>
      <c r="M7" s="205">
        <v>0</v>
      </c>
      <c r="N7" s="156" t="s">
        <v>163</v>
      </c>
      <c r="O7" s="13"/>
    </row>
    <row r="8" spans="1:15" s="94" customFormat="1" ht="78" customHeight="1" thickTop="1" thickBot="1" x14ac:dyDescent="0.3">
      <c r="A8" s="156">
        <v>46</v>
      </c>
      <c r="B8" s="159" t="s">
        <v>25</v>
      </c>
      <c r="C8" s="156" t="s">
        <v>89</v>
      </c>
      <c r="D8" s="158" t="s">
        <v>493</v>
      </c>
      <c r="E8" s="158" t="s">
        <v>353</v>
      </c>
      <c r="F8" s="156">
        <v>2000</v>
      </c>
      <c r="G8" s="158" t="s">
        <v>150</v>
      </c>
      <c r="H8" s="158" t="s">
        <v>173</v>
      </c>
      <c r="I8" s="158" t="s">
        <v>492</v>
      </c>
      <c r="J8" s="158" t="s">
        <v>737</v>
      </c>
      <c r="K8" s="158" t="s">
        <v>743</v>
      </c>
      <c r="L8" s="218" t="s">
        <v>836</v>
      </c>
      <c r="M8" s="205">
        <v>0</v>
      </c>
      <c r="N8" s="156" t="s">
        <v>163</v>
      </c>
      <c r="O8" s="13"/>
    </row>
    <row r="9" spans="1:15" s="94" customFormat="1" ht="74.25" customHeight="1" thickTop="1" thickBot="1" x14ac:dyDescent="0.3">
      <c r="A9" s="156">
        <v>46</v>
      </c>
      <c r="B9" s="159" t="s">
        <v>25</v>
      </c>
      <c r="C9" s="156" t="s">
        <v>76</v>
      </c>
      <c r="D9" s="158" t="s">
        <v>497</v>
      </c>
      <c r="E9" s="158" t="s">
        <v>397</v>
      </c>
      <c r="F9" s="156">
        <v>5000</v>
      </c>
      <c r="G9" s="158" t="s">
        <v>150</v>
      </c>
      <c r="H9" s="158" t="s">
        <v>173</v>
      </c>
      <c r="I9" s="158" t="s">
        <v>494</v>
      </c>
      <c r="J9" s="158" t="s">
        <v>738</v>
      </c>
      <c r="K9" s="158" t="s">
        <v>739</v>
      </c>
      <c r="L9" s="158" t="s">
        <v>740</v>
      </c>
      <c r="M9" s="205">
        <v>0</v>
      </c>
      <c r="N9" s="156" t="s">
        <v>163</v>
      </c>
      <c r="O9" s="13"/>
    </row>
    <row r="10" spans="1:15" s="94" customFormat="1" ht="71.25" customHeight="1" thickTop="1" thickBot="1" x14ac:dyDescent="0.3">
      <c r="A10" s="156">
        <v>46</v>
      </c>
      <c r="B10" s="159" t="s">
        <v>25</v>
      </c>
      <c r="C10" s="156" t="s">
        <v>49</v>
      </c>
      <c r="D10" s="158" t="s">
        <v>509</v>
      </c>
      <c r="E10" s="158" t="s">
        <v>127</v>
      </c>
      <c r="F10" s="156">
        <v>40000</v>
      </c>
      <c r="G10" s="158" t="s">
        <v>152</v>
      </c>
      <c r="H10" s="158" t="s">
        <v>535</v>
      </c>
      <c r="I10" s="158" t="s">
        <v>164</v>
      </c>
      <c r="J10" s="158" t="s">
        <v>741</v>
      </c>
      <c r="K10" s="158" t="s">
        <v>1</v>
      </c>
      <c r="L10" s="158" t="s">
        <v>1</v>
      </c>
      <c r="M10" s="205">
        <v>12000</v>
      </c>
      <c r="N10" s="156" t="s">
        <v>17</v>
      </c>
      <c r="O10" s="13"/>
    </row>
    <row r="11" spans="1:15" s="94" customFormat="1" ht="96" customHeight="1" thickTop="1" thickBot="1" x14ac:dyDescent="0.3">
      <c r="A11" s="159">
        <v>54</v>
      </c>
      <c r="B11" s="159" t="s">
        <v>25</v>
      </c>
      <c r="C11" s="159" t="s">
        <v>50</v>
      </c>
      <c r="D11" s="159" t="s">
        <v>499</v>
      </c>
      <c r="E11" s="159" t="s">
        <v>358</v>
      </c>
      <c r="F11" s="161">
        <v>5000</v>
      </c>
      <c r="G11" s="158" t="s">
        <v>150</v>
      </c>
      <c r="H11" s="158" t="s">
        <v>173</v>
      </c>
      <c r="I11" s="158" t="s">
        <v>498</v>
      </c>
      <c r="J11" s="158" t="s">
        <v>742</v>
      </c>
      <c r="K11" s="217" t="s">
        <v>743</v>
      </c>
      <c r="L11" s="217" t="s">
        <v>641</v>
      </c>
      <c r="M11" s="205">
        <v>0</v>
      </c>
      <c r="N11" s="159" t="s">
        <v>17</v>
      </c>
    </row>
    <row r="12" spans="1:15" s="94" customFormat="1" ht="80.25" customHeight="1" thickTop="1" thickBot="1" x14ac:dyDescent="0.3">
      <c r="A12" s="156">
        <v>46</v>
      </c>
      <c r="B12" s="159" t="s">
        <v>25</v>
      </c>
      <c r="C12" s="156" t="s">
        <v>50</v>
      </c>
      <c r="D12" s="158" t="s">
        <v>401</v>
      </c>
      <c r="E12" s="158" t="s">
        <v>128</v>
      </c>
      <c r="F12" s="160">
        <v>300000</v>
      </c>
      <c r="G12" s="158" t="s">
        <v>150</v>
      </c>
      <c r="H12" s="158" t="s">
        <v>149</v>
      </c>
      <c r="I12" s="158" t="s">
        <v>157</v>
      </c>
      <c r="J12" s="158" t="s">
        <v>838</v>
      </c>
      <c r="K12" s="217" t="s">
        <v>1</v>
      </c>
      <c r="L12" s="217" t="s">
        <v>1</v>
      </c>
      <c r="M12" s="205">
        <v>284706000</v>
      </c>
      <c r="N12" s="156" t="s">
        <v>17</v>
      </c>
      <c r="O12" s="13"/>
    </row>
    <row r="13" spans="1:15" s="94" customFormat="1" ht="96.75" customHeight="1" thickTop="1" thickBot="1" x14ac:dyDescent="0.3">
      <c r="A13" s="156">
        <v>46</v>
      </c>
      <c r="B13" s="159" t="s">
        <v>25</v>
      </c>
      <c r="C13" s="156" t="s">
        <v>49</v>
      </c>
      <c r="D13" s="158" t="s">
        <v>168</v>
      </c>
      <c r="E13" s="158" t="s">
        <v>129</v>
      </c>
      <c r="F13" s="162">
        <v>169920</v>
      </c>
      <c r="G13" s="158" t="s">
        <v>150</v>
      </c>
      <c r="H13" s="158" t="s">
        <v>149</v>
      </c>
      <c r="I13" s="163" t="s">
        <v>169</v>
      </c>
      <c r="J13" s="163" t="s">
        <v>665</v>
      </c>
      <c r="K13" s="217" t="s">
        <v>1</v>
      </c>
      <c r="L13" s="217" t="s">
        <v>1</v>
      </c>
      <c r="M13" s="205">
        <v>93218</v>
      </c>
      <c r="N13" s="156" t="s">
        <v>17</v>
      </c>
      <c r="O13" s="13"/>
    </row>
    <row r="14" spans="1:15" s="13" customFormat="1" ht="72" customHeight="1" thickTop="1" thickBot="1" x14ac:dyDescent="0.3">
      <c r="A14" s="164">
        <v>46</v>
      </c>
      <c r="B14" s="159" t="s">
        <v>25</v>
      </c>
      <c r="C14" s="164" t="s">
        <v>156</v>
      </c>
      <c r="D14" s="158" t="s">
        <v>510</v>
      </c>
      <c r="E14" s="158" t="s">
        <v>392</v>
      </c>
      <c r="F14" s="160">
        <v>1101597</v>
      </c>
      <c r="G14" s="158" t="s">
        <v>150</v>
      </c>
      <c r="H14" s="158" t="s">
        <v>535</v>
      </c>
      <c r="I14" s="158" t="s">
        <v>839</v>
      </c>
      <c r="J14" s="180" t="s">
        <v>744</v>
      </c>
      <c r="K14" s="158" t="s">
        <v>1</v>
      </c>
      <c r="L14" s="158" t="s">
        <v>1</v>
      </c>
      <c r="M14" s="205">
        <v>0</v>
      </c>
      <c r="N14" s="159" t="s">
        <v>17</v>
      </c>
    </row>
    <row r="15" spans="1:15" s="94" customFormat="1" ht="97.5" customHeight="1" thickTop="1" thickBot="1" x14ac:dyDescent="0.3">
      <c r="A15" s="164">
        <v>46</v>
      </c>
      <c r="B15" s="159" t="s">
        <v>25</v>
      </c>
      <c r="C15" s="164" t="s">
        <v>156</v>
      </c>
      <c r="D15" s="158" t="s">
        <v>167</v>
      </c>
      <c r="E15" s="158" t="s">
        <v>130</v>
      </c>
      <c r="F15" s="160">
        <v>264000</v>
      </c>
      <c r="G15" s="158" t="s">
        <v>150</v>
      </c>
      <c r="H15" s="158" t="s">
        <v>158</v>
      </c>
      <c r="I15" s="158" t="s">
        <v>500</v>
      </c>
      <c r="J15" s="180" t="s">
        <v>745</v>
      </c>
      <c r="K15" s="158" t="s">
        <v>743</v>
      </c>
      <c r="L15" s="217" t="s">
        <v>641</v>
      </c>
      <c r="M15" s="205">
        <v>0</v>
      </c>
      <c r="N15" s="159" t="s">
        <v>17</v>
      </c>
      <c r="O15" s="13"/>
    </row>
    <row r="16" spans="1:15" s="2" customFormat="1" ht="96" customHeight="1" thickTop="1" thickBot="1" x14ac:dyDescent="0.3">
      <c r="A16" s="165">
        <v>39</v>
      </c>
      <c r="B16" s="166" t="s">
        <v>25</v>
      </c>
      <c r="C16" s="165" t="s">
        <v>156</v>
      </c>
      <c r="D16" s="167" t="s">
        <v>589</v>
      </c>
      <c r="E16" s="168" t="s">
        <v>393</v>
      </c>
      <c r="F16" s="169">
        <v>10560</v>
      </c>
      <c r="G16" s="167" t="s">
        <v>150</v>
      </c>
      <c r="H16" s="167" t="s">
        <v>173</v>
      </c>
      <c r="I16" s="158" t="s">
        <v>588</v>
      </c>
      <c r="J16" s="180" t="s">
        <v>745</v>
      </c>
      <c r="K16" s="158" t="s">
        <v>743</v>
      </c>
      <c r="L16" s="217" t="s">
        <v>641</v>
      </c>
      <c r="M16" s="205">
        <v>0</v>
      </c>
      <c r="N16" s="166" t="s">
        <v>17</v>
      </c>
    </row>
    <row r="17" spans="1:15" s="94" customFormat="1" ht="105.75" customHeight="1" thickTop="1" thickBot="1" x14ac:dyDescent="0.3">
      <c r="A17" s="156">
        <v>46</v>
      </c>
      <c r="B17" s="159" t="s">
        <v>25</v>
      </c>
      <c r="C17" s="156" t="s">
        <v>156</v>
      </c>
      <c r="D17" s="158" t="s">
        <v>501</v>
      </c>
      <c r="E17" s="158" t="s">
        <v>382</v>
      </c>
      <c r="F17" s="160">
        <v>100000</v>
      </c>
      <c r="G17" s="158" t="s">
        <v>150</v>
      </c>
      <c r="H17" s="158" t="s">
        <v>173</v>
      </c>
      <c r="I17" s="158" t="s">
        <v>502</v>
      </c>
      <c r="J17" s="158" t="s">
        <v>746</v>
      </c>
      <c r="K17" s="158" t="s">
        <v>743</v>
      </c>
      <c r="L17" s="217" t="s">
        <v>641</v>
      </c>
      <c r="M17" s="205">
        <v>0</v>
      </c>
      <c r="N17" s="156" t="s">
        <v>163</v>
      </c>
      <c r="O17" s="13"/>
    </row>
    <row r="18" spans="1:15" s="94" customFormat="1" ht="77.25" customHeight="1" thickTop="1" thickBot="1" x14ac:dyDescent="0.3">
      <c r="A18" s="164">
        <v>46</v>
      </c>
      <c r="B18" s="159" t="s">
        <v>25</v>
      </c>
      <c r="C18" s="170" t="s">
        <v>49</v>
      </c>
      <c r="D18" s="171" t="s">
        <v>504</v>
      </c>
      <c r="E18" s="171" t="s">
        <v>383</v>
      </c>
      <c r="F18" s="172">
        <v>30000</v>
      </c>
      <c r="G18" s="159" t="s">
        <v>150</v>
      </c>
      <c r="H18" s="157" t="s">
        <v>173</v>
      </c>
      <c r="I18" s="158" t="s">
        <v>503</v>
      </c>
      <c r="J18" s="158" t="s">
        <v>747</v>
      </c>
      <c r="K18" s="158" t="s">
        <v>1</v>
      </c>
      <c r="L18" s="158" t="s">
        <v>1</v>
      </c>
      <c r="M18" s="205">
        <v>8205</v>
      </c>
      <c r="N18" s="147" t="s">
        <v>384</v>
      </c>
      <c r="O18" s="13"/>
    </row>
    <row r="19" spans="1:15" s="94" customFormat="1" ht="84.75" customHeight="1" thickTop="1" thickBot="1" x14ac:dyDescent="0.3">
      <c r="A19" s="156">
        <v>46</v>
      </c>
      <c r="B19" s="159" t="s">
        <v>25</v>
      </c>
      <c r="C19" s="156" t="s">
        <v>49</v>
      </c>
      <c r="D19" s="158" t="s">
        <v>511</v>
      </c>
      <c r="E19" s="158" t="s">
        <v>385</v>
      </c>
      <c r="F19" s="160">
        <v>175000</v>
      </c>
      <c r="G19" s="158" t="s">
        <v>150</v>
      </c>
      <c r="H19" s="158" t="s">
        <v>535</v>
      </c>
      <c r="I19" s="158" t="s">
        <v>809</v>
      </c>
      <c r="J19" s="180" t="s">
        <v>748</v>
      </c>
      <c r="K19" s="158" t="s">
        <v>743</v>
      </c>
      <c r="L19" s="217" t="s">
        <v>641</v>
      </c>
      <c r="M19" s="205">
        <v>0</v>
      </c>
      <c r="N19" s="156" t="s">
        <v>163</v>
      </c>
      <c r="O19" s="13"/>
    </row>
    <row r="20" spans="1:15" s="94" customFormat="1" ht="84.75" customHeight="1" thickTop="1" thickBot="1" x14ac:dyDescent="0.3">
      <c r="A20" s="156">
        <v>46</v>
      </c>
      <c r="B20" s="159" t="s">
        <v>25</v>
      </c>
      <c r="C20" s="156" t="s">
        <v>156</v>
      </c>
      <c r="D20" s="158" t="s">
        <v>512</v>
      </c>
      <c r="E20" s="158" t="s">
        <v>386</v>
      </c>
      <c r="F20" s="160">
        <v>100000</v>
      </c>
      <c r="G20" s="158" t="s">
        <v>150</v>
      </c>
      <c r="H20" s="158" t="s">
        <v>535</v>
      </c>
      <c r="I20" s="173" t="s">
        <v>810</v>
      </c>
      <c r="J20" s="180" t="s">
        <v>751</v>
      </c>
      <c r="K20" s="158" t="s">
        <v>743</v>
      </c>
      <c r="L20" s="158" t="s">
        <v>752</v>
      </c>
      <c r="M20" s="205">
        <v>0</v>
      </c>
      <c r="N20" s="156" t="s">
        <v>163</v>
      </c>
      <c r="O20" s="13"/>
    </row>
    <row r="21" spans="1:15" s="94" customFormat="1" ht="96.75" customHeight="1" thickTop="1" thickBot="1" x14ac:dyDescent="0.3">
      <c r="A21" s="156">
        <v>46</v>
      </c>
      <c r="B21" s="159" t="s">
        <v>25</v>
      </c>
      <c r="C21" s="156" t="s">
        <v>156</v>
      </c>
      <c r="D21" s="158" t="s">
        <v>513</v>
      </c>
      <c r="E21" s="158" t="s">
        <v>387</v>
      </c>
      <c r="F21" s="160">
        <v>50000</v>
      </c>
      <c r="G21" s="158" t="s">
        <v>150</v>
      </c>
      <c r="H21" s="158" t="s">
        <v>568</v>
      </c>
      <c r="I21" s="173" t="s">
        <v>811</v>
      </c>
      <c r="J21" s="180" t="s">
        <v>753</v>
      </c>
      <c r="K21" s="158" t="s">
        <v>743</v>
      </c>
      <c r="L21" s="158" t="s">
        <v>752</v>
      </c>
      <c r="M21" s="205">
        <v>0</v>
      </c>
      <c r="N21" s="156" t="s">
        <v>163</v>
      </c>
      <c r="O21" s="13"/>
    </row>
    <row r="22" spans="1:15" s="94" customFormat="1" ht="70.5" customHeight="1" thickTop="1" thickBot="1" x14ac:dyDescent="0.3">
      <c r="A22" s="156">
        <v>46</v>
      </c>
      <c r="B22" s="159" t="s">
        <v>25</v>
      </c>
      <c r="C22" s="156" t="s">
        <v>156</v>
      </c>
      <c r="D22" s="158" t="s">
        <v>505</v>
      </c>
      <c r="E22" s="158" t="s">
        <v>388</v>
      </c>
      <c r="F22" s="160">
        <v>100000</v>
      </c>
      <c r="G22" s="158" t="s">
        <v>150</v>
      </c>
      <c r="H22" s="158" t="s">
        <v>173</v>
      </c>
      <c r="I22" s="158" t="s">
        <v>590</v>
      </c>
      <c r="J22" s="158" t="s">
        <v>754</v>
      </c>
      <c r="K22" s="158" t="s">
        <v>743</v>
      </c>
      <c r="L22" s="158" t="s">
        <v>750</v>
      </c>
      <c r="M22" s="205">
        <v>0</v>
      </c>
      <c r="N22" s="156" t="s">
        <v>163</v>
      </c>
      <c r="O22" s="13"/>
    </row>
    <row r="23" spans="1:15" s="13" customFormat="1" ht="105.75" customHeight="1" thickTop="1" thickBot="1" x14ac:dyDescent="0.3">
      <c r="A23" s="156">
        <v>46</v>
      </c>
      <c r="B23" s="159" t="s">
        <v>25</v>
      </c>
      <c r="C23" s="156" t="s">
        <v>156</v>
      </c>
      <c r="D23" s="158" t="s">
        <v>427</v>
      </c>
      <c r="E23" s="158" t="s">
        <v>390</v>
      </c>
      <c r="F23" s="160">
        <v>300000</v>
      </c>
      <c r="G23" s="158" t="s">
        <v>152</v>
      </c>
      <c r="H23" s="158" t="s">
        <v>158</v>
      </c>
      <c r="I23" s="158" t="s">
        <v>812</v>
      </c>
      <c r="J23" s="158" t="s">
        <v>745</v>
      </c>
      <c r="K23" s="158" t="s">
        <v>755</v>
      </c>
      <c r="L23" s="158" t="s">
        <v>758</v>
      </c>
      <c r="M23" s="205">
        <v>0</v>
      </c>
      <c r="N23" s="156" t="s">
        <v>163</v>
      </c>
    </row>
    <row r="24" spans="1:15" s="94" customFormat="1" ht="75" customHeight="1" thickTop="1" thickBot="1" x14ac:dyDescent="0.3">
      <c r="A24" s="156">
        <v>54</v>
      </c>
      <c r="B24" s="159" t="s">
        <v>25</v>
      </c>
      <c r="C24" s="156" t="s">
        <v>50</v>
      </c>
      <c r="D24" s="159" t="s">
        <v>506</v>
      </c>
      <c r="E24" s="157" t="s">
        <v>389</v>
      </c>
      <c r="F24" s="174">
        <v>30000</v>
      </c>
      <c r="G24" s="175" t="s">
        <v>150</v>
      </c>
      <c r="H24" s="175" t="s">
        <v>173</v>
      </c>
      <c r="I24" s="159" t="s">
        <v>508</v>
      </c>
      <c r="J24" s="217" t="s">
        <v>756</v>
      </c>
      <c r="K24" s="217" t="s">
        <v>757</v>
      </c>
      <c r="L24" s="217" t="s">
        <v>759</v>
      </c>
      <c r="M24" s="205">
        <v>0</v>
      </c>
      <c r="N24" s="159" t="s">
        <v>17</v>
      </c>
      <c r="O24" s="13"/>
    </row>
    <row r="25" spans="1:15" s="94" customFormat="1" ht="136.5" customHeight="1" thickTop="1" thickBot="1" x14ac:dyDescent="0.3">
      <c r="A25" s="164">
        <v>54</v>
      </c>
      <c r="B25" s="159" t="s">
        <v>25</v>
      </c>
      <c r="C25" s="164" t="s">
        <v>50</v>
      </c>
      <c r="D25" s="159" t="s">
        <v>507</v>
      </c>
      <c r="E25" s="157" t="s">
        <v>185</v>
      </c>
      <c r="F25" s="174">
        <f>1356000-356000</f>
        <v>1000000</v>
      </c>
      <c r="G25" s="175" t="s">
        <v>150</v>
      </c>
      <c r="H25" s="175" t="s">
        <v>158</v>
      </c>
      <c r="I25" s="158" t="s">
        <v>813</v>
      </c>
      <c r="J25" s="167" t="s">
        <v>760</v>
      </c>
      <c r="K25" s="158" t="s">
        <v>743</v>
      </c>
      <c r="L25" s="217" t="s">
        <v>641</v>
      </c>
      <c r="M25" s="205">
        <v>0</v>
      </c>
      <c r="N25" s="159" t="s">
        <v>181</v>
      </c>
      <c r="O25" s="13"/>
    </row>
    <row r="26" spans="1:15" ht="15.75" thickTop="1" x14ac:dyDescent="0.25"/>
  </sheetData>
  <mergeCells count="13">
    <mergeCell ref="I3:I4"/>
    <mergeCell ref="A1:N1"/>
    <mergeCell ref="N3:N4"/>
    <mergeCell ref="A3:A4"/>
    <mergeCell ref="B3:B4"/>
    <mergeCell ref="D3:D4"/>
    <mergeCell ref="E3:E4"/>
    <mergeCell ref="F3:F4"/>
    <mergeCell ref="G3:G4"/>
    <mergeCell ref="H3:H4"/>
    <mergeCell ref="C3:C4"/>
    <mergeCell ref="A2:N2"/>
    <mergeCell ref="J3:J4"/>
  </mergeCells>
  <pageMargins left="0.70866141732283472" right="0.70866141732283472" top="0.74803149606299213" bottom="0.74803149606299213" header="0.31496062992125984" footer="0.31496062992125984"/>
  <pageSetup paperSize="9" scale="65" fitToHeight="0" orientation="landscape" r:id="rId1"/>
  <headerFooter>
    <oddFooter>&amp;L&amp;N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89"/>
  <sheetViews>
    <sheetView view="pageBreakPreview" topLeftCell="B1" zoomScale="80" zoomScaleNormal="80" zoomScaleSheetLayoutView="80" workbookViewId="0">
      <pane ySplit="1" topLeftCell="A62" activePane="bottomLeft" state="frozen"/>
      <selection activeCell="F52" sqref="F52"/>
      <selection pane="bottomLeft" activeCell="F52" sqref="F52"/>
    </sheetView>
  </sheetViews>
  <sheetFormatPr defaultRowHeight="15" x14ac:dyDescent="0.25"/>
  <cols>
    <col min="1" max="1" width="5.85546875" style="25" customWidth="1"/>
    <col min="2" max="2" width="14" style="23" customWidth="1"/>
    <col min="3" max="3" width="15.140625" style="23" customWidth="1"/>
    <col min="4" max="4" width="16.5703125" style="23" customWidth="1"/>
    <col min="5" max="5" width="16.7109375" style="23" customWidth="1"/>
    <col min="6" max="6" width="11.85546875" style="88" customWidth="1"/>
    <col min="7" max="7" width="13" style="23" customWidth="1"/>
    <col min="8" max="8" width="13.5703125" style="23" customWidth="1"/>
    <col min="9" max="12" width="17.42578125" style="23" customWidth="1"/>
    <col min="13" max="13" width="14.42578125" style="223" customWidth="1"/>
    <col min="14" max="14" width="14.140625" style="23" customWidth="1"/>
    <col min="15" max="15" width="9.140625" style="13"/>
    <col min="16" max="257" width="9.140625" style="23"/>
    <col min="258" max="258" width="5.85546875" style="23" customWidth="1"/>
    <col min="259" max="259" width="14" style="23" customWidth="1"/>
    <col min="260" max="260" width="15.140625" style="23" customWidth="1"/>
    <col min="261" max="261" width="16.5703125" style="23" customWidth="1"/>
    <col min="262" max="262" width="12.42578125" style="23" customWidth="1"/>
    <col min="263" max="263" width="10" style="23" customWidth="1"/>
    <col min="264" max="264" width="10.5703125" style="23" customWidth="1"/>
    <col min="265" max="265" width="10.140625" style="23" customWidth="1"/>
    <col min="266" max="266" width="18" style="23" customWidth="1"/>
    <col min="267" max="267" width="17.42578125" style="23" customWidth="1"/>
    <col min="268" max="268" width="12.42578125" style="23" customWidth="1"/>
    <col min="269" max="270" width="12.5703125" style="23" customWidth="1"/>
    <col min="271" max="513" width="9.140625" style="23"/>
    <col min="514" max="514" width="5.85546875" style="23" customWidth="1"/>
    <col min="515" max="515" width="14" style="23" customWidth="1"/>
    <col min="516" max="516" width="15.140625" style="23" customWidth="1"/>
    <col min="517" max="517" width="16.5703125" style="23" customWidth="1"/>
    <col min="518" max="518" width="12.42578125" style="23" customWidth="1"/>
    <col min="519" max="519" width="10" style="23" customWidth="1"/>
    <col min="520" max="520" width="10.5703125" style="23" customWidth="1"/>
    <col min="521" max="521" width="10.140625" style="23" customWidth="1"/>
    <col min="522" max="522" width="18" style="23" customWidth="1"/>
    <col min="523" max="523" width="17.42578125" style="23" customWidth="1"/>
    <col min="524" max="524" width="12.42578125" style="23" customWidth="1"/>
    <col min="525" max="526" width="12.5703125" style="23" customWidth="1"/>
    <col min="527" max="769" width="9.140625" style="23"/>
    <col min="770" max="770" width="5.85546875" style="23" customWidth="1"/>
    <col min="771" max="771" width="14" style="23" customWidth="1"/>
    <col min="772" max="772" width="15.140625" style="23" customWidth="1"/>
    <col min="773" max="773" width="16.5703125" style="23" customWidth="1"/>
    <col min="774" max="774" width="12.42578125" style="23" customWidth="1"/>
    <col min="775" max="775" width="10" style="23" customWidth="1"/>
    <col min="776" max="776" width="10.5703125" style="23" customWidth="1"/>
    <col min="777" max="777" width="10.140625" style="23" customWidth="1"/>
    <col min="778" max="778" width="18" style="23" customWidth="1"/>
    <col min="779" max="779" width="17.42578125" style="23" customWidth="1"/>
    <col min="780" max="780" width="12.42578125" style="23" customWidth="1"/>
    <col min="781" max="782" width="12.5703125" style="23" customWidth="1"/>
    <col min="783" max="1025" width="9.140625" style="23"/>
    <col min="1026" max="1026" width="5.85546875" style="23" customWidth="1"/>
    <col min="1027" max="1027" width="14" style="23" customWidth="1"/>
    <col min="1028" max="1028" width="15.140625" style="23" customWidth="1"/>
    <col min="1029" max="1029" width="16.5703125" style="23" customWidth="1"/>
    <col min="1030" max="1030" width="12.42578125" style="23" customWidth="1"/>
    <col min="1031" max="1031" width="10" style="23" customWidth="1"/>
    <col min="1032" max="1032" width="10.5703125" style="23" customWidth="1"/>
    <col min="1033" max="1033" width="10.140625" style="23" customWidth="1"/>
    <col min="1034" max="1034" width="18" style="23" customWidth="1"/>
    <col min="1035" max="1035" width="17.42578125" style="23" customWidth="1"/>
    <col min="1036" max="1036" width="12.42578125" style="23" customWidth="1"/>
    <col min="1037" max="1038" width="12.5703125" style="23" customWidth="1"/>
    <col min="1039" max="1281" width="9.140625" style="23"/>
    <col min="1282" max="1282" width="5.85546875" style="23" customWidth="1"/>
    <col min="1283" max="1283" width="14" style="23" customWidth="1"/>
    <col min="1284" max="1284" width="15.140625" style="23" customWidth="1"/>
    <col min="1285" max="1285" width="16.5703125" style="23" customWidth="1"/>
    <col min="1286" max="1286" width="12.42578125" style="23" customWidth="1"/>
    <col min="1287" max="1287" width="10" style="23" customWidth="1"/>
    <col min="1288" max="1288" width="10.5703125" style="23" customWidth="1"/>
    <col min="1289" max="1289" width="10.140625" style="23" customWidth="1"/>
    <col min="1290" max="1290" width="18" style="23" customWidth="1"/>
    <col min="1291" max="1291" width="17.42578125" style="23" customWidth="1"/>
    <col min="1292" max="1292" width="12.42578125" style="23" customWidth="1"/>
    <col min="1293" max="1294" width="12.5703125" style="23" customWidth="1"/>
    <col min="1295" max="1537" width="9.140625" style="23"/>
    <col min="1538" max="1538" width="5.85546875" style="23" customWidth="1"/>
    <col min="1539" max="1539" width="14" style="23" customWidth="1"/>
    <col min="1540" max="1540" width="15.140625" style="23" customWidth="1"/>
    <col min="1541" max="1541" width="16.5703125" style="23" customWidth="1"/>
    <col min="1542" max="1542" width="12.42578125" style="23" customWidth="1"/>
    <col min="1543" max="1543" width="10" style="23" customWidth="1"/>
    <col min="1544" max="1544" width="10.5703125" style="23" customWidth="1"/>
    <col min="1545" max="1545" width="10.140625" style="23" customWidth="1"/>
    <col min="1546" max="1546" width="18" style="23" customWidth="1"/>
    <col min="1547" max="1547" width="17.42578125" style="23" customWidth="1"/>
    <col min="1548" max="1548" width="12.42578125" style="23" customWidth="1"/>
    <col min="1549" max="1550" width="12.5703125" style="23" customWidth="1"/>
    <col min="1551" max="1793" width="9.140625" style="23"/>
    <col min="1794" max="1794" width="5.85546875" style="23" customWidth="1"/>
    <col min="1795" max="1795" width="14" style="23" customWidth="1"/>
    <col min="1796" max="1796" width="15.140625" style="23" customWidth="1"/>
    <col min="1797" max="1797" width="16.5703125" style="23" customWidth="1"/>
    <col min="1798" max="1798" width="12.42578125" style="23" customWidth="1"/>
    <col min="1799" max="1799" width="10" style="23" customWidth="1"/>
    <col min="1800" max="1800" width="10.5703125" style="23" customWidth="1"/>
    <col min="1801" max="1801" width="10.140625" style="23" customWidth="1"/>
    <col min="1802" max="1802" width="18" style="23" customWidth="1"/>
    <col min="1803" max="1803" width="17.42578125" style="23" customWidth="1"/>
    <col min="1804" max="1804" width="12.42578125" style="23" customWidth="1"/>
    <col min="1805" max="1806" width="12.5703125" style="23" customWidth="1"/>
    <col min="1807" max="2049" width="9.140625" style="23"/>
    <col min="2050" max="2050" width="5.85546875" style="23" customWidth="1"/>
    <col min="2051" max="2051" width="14" style="23" customWidth="1"/>
    <col min="2052" max="2052" width="15.140625" style="23" customWidth="1"/>
    <col min="2053" max="2053" width="16.5703125" style="23" customWidth="1"/>
    <col min="2054" max="2054" width="12.42578125" style="23" customWidth="1"/>
    <col min="2055" max="2055" width="10" style="23" customWidth="1"/>
    <col min="2056" max="2056" width="10.5703125" style="23" customWidth="1"/>
    <col min="2057" max="2057" width="10.140625" style="23" customWidth="1"/>
    <col min="2058" max="2058" width="18" style="23" customWidth="1"/>
    <col min="2059" max="2059" width="17.42578125" style="23" customWidth="1"/>
    <col min="2060" max="2060" width="12.42578125" style="23" customWidth="1"/>
    <col min="2061" max="2062" width="12.5703125" style="23" customWidth="1"/>
    <col min="2063" max="2305" width="9.140625" style="23"/>
    <col min="2306" max="2306" width="5.85546875" style="23" customWidth="1"/>
    <col min="2307" max="2307" width="14" style="23" customWidth="1"/>
    <col min="2308" max="2308" width="15.140625" style="23" customWidth="1"/>
    <col min="2309" max="2309" width="16.5703125" style="23" customWidth="1"/>
    <col min="2310" max="2310" width="12.42578125" style="23" customWidth="1"/>
    <col min="2311" max="2311" width="10" style="23" customWidth="1"/>
    <col min="2312" max="2312" width="10.5703125" style="23" customWidth="1"/>
    <col min="2313" max="2313" width="10.140625" style="23" customWidth="1"/>
    <col min="2314" max="2314" width="18" style="23" customWidth="1"/>
    <col min="2315" max="2315" width="17.42578125" style="23" customWidth="1"/>
    <col min="2316" max="2316" width="12.42578125" style="23" customWidth="1"/>
    <col min="2317" max="2318" width="12.5703125" style="23" customWidth="1"/>
    <col min="2319" max="2561" width="9.140625" style="23"/>
    <col min="2562" max="2562" width="5.85546875" style="23" customWidth="1"/>
    <col min="2563" max="2563" width="14" style="23" customWidth="1"/>
    <col min="2564" max="2564" width="15.140625" style="23" customWidth="1"/>
    <col min="2565" max="2565" width="16.5703125" style="23" customWidth="1"/>
    <col min="2566" max="2566" width="12.42578125" style="23" customWidth="1"/>
    <col min="2567" max="2567" width="10" style="23" customWidth="1"/>
    <col min="2568" max="2568" width="10.5703125" style="23" customWidth="1"/>
    <col min="2569" max="2569" width="10.140625" style="23" customWidth="1"/>
    <col min="2570" max="2570" width="18" style="23" customWidth="1"/>
    <col min="2571" max="2571" width="17.42578125" style="23" customWidth="1"/>
    <col min="2572" max="2572" width="12.42578125" style="23" customWidth="1"/>
    <col min="2573" max="2574" width="12.5703125" style="23" customWidth="1"/>
    <col min="2575" max="2817" width="9.140625" style="23"/>
    <col min="2818" max="2818" width="5.85546875" style="23" customWidth="1"/>
    <col min="2819" max="2819" width="14" style="23" customWidth="1"/>
    <col min="2820" max="2820" width="15.140625" style="23" customWidth="1"/>
    <col min="2821" max="2821" width="16.5703125" style="23" customWidth="1"/>
    <col min="2822" max="2822" width="12.42578125" style="23" customWidth="1"/>
    <col min="2823" max="2823" width="10" style="23" customWidth="1"/>
    <col min="2824" max="2824" width="10.5703125" style="23" customWidth="1"/>
    <col min="2825" max="2825" width="10.140625" style="23" customWidth="1"/>
    <col min="2826" max="2826" width="18" style="23" customWidth="1"/>
    <col min="2827" max="2827" width="17.42578125" style="23" customWidth="1"/>
    <col min="2828" max="2828" width="12.42578125" style="23" customWidth="1"/>
    <col min="2829" max="2830" width="12.5703125" style="23" customWidth="1"/>
    <col min="2831" max="3073" width="9.140625" style="23"/>
    <col min="3074" max="3074" width="5.85546875" style="23" customWidth="1"/>
    <col min="3075" max="3075" width="14" style="23" customWidth="1"/>
    <col min="3076" max="3076" width="15.140625" style="23" customWidth="1"/>
    <col min="3077" max="3077" width="16.5703125" style="23" customWidth="1"/>
    <col min="3078" max="3078" width="12.42578125" style="23" customWidth="1"/>
    <col min="3079" max="3079" width="10" style="23" customWidth="1"/>
    <col min="3080" max="3080" width="10.5703125" style="23" customWidth="1"/>
    <col min="3081" max="3081" width="10.140625" style="23" customWidth="1"/>
    <col min="3082" max="3082" width="18" style="23" customWidth="1"/>
    <col min="3083" max="3083" width="17.42578125" style="23" customWidth="1"/>
    <col min="3084" max="3084" width="12.42578125" style="23" customWidth="1"/>
    <col min="3085" max="3086" width="12.5703125" style="23" customWidth="1"/>
    <col min="3087" max="3329" width="9.140625" style="23"/>
    <col min="3330" max="3330" width="5.85546875" style="23" customWidth="1"/>
    <col min="3331" max="3331" width="14" style="23" customWidth="1"/>
    <col min="3332" max="3332" width="15.140625" style="23" customWidth="1"/>
    <col min="3333" max="3333" width="16.5703125" style="23" customWidth="1"/>
    <col min="3334" max="3334" width="12.42578125" style="23" customWidth="1"/>
    <col min="3335" max="3335" width="10" style="23" customWidth="1"/>
    <col min="3336" max="3336" width="10.5703125" style="23" customWidth="1"/>
    <col min="3337" max="3337" width="10.140625" style="23" customWidth="1"/>
    <col min="3338" max="3338" width="18" style="23" customWidth="1"/>
    <col min="3339" max="3339" width="17.42578125" style="23" customWidth="1"/>
    <col min="3340" max="3340" width="12.42578125" style="23" customWidth="1"/>
    <col min="3341" max="3342" width="12.5703125" style="23" customWidth="1"/>
    <col min="3343" max="3585" width="9.140625" style="23"/>
    <col min="3586" max="3586" width="5.85546875" style="23" customWidth="1"/>
    <col min="3587" max="3587" width="14" style="23" customWidth="1"/>
    <col min="3588" max="3588" width="15.140625" style="23" customWidth="1"/>
    <col min="3589" max="3589" width="16.5703125" style="23" customWidth="1"/>
    <col min="3590" max="3590" width="12.42578125" style="23" customWidth="1"/>
    <col min="3591" max="3591" width="10" style="23" customWidth="1"/>
    <col min="3592" max="3592" width="10.5703125" style="23" customWidth="1"/>
    <col min="3593" max="3593" width="10.140625" style="23" customWidth="1"/>
    <col min="3594" max="3594" width="18" style="23" customWidth="1"/>
    <col min="3595" max="3595" width="17.42578125" style="23" customWidth="1"/>
    <col min="3596" max="3596" width="12.42578125" style="23" customWidth="1"/>
    <col min="3597" max="3598" width="12.5703125" style="23" customWidth="1"/>
    <col min="3599" max="3841" width="9.140625" style="23"/>
    <col min="3842" max="3842" width="5.85546875" style="23" customWidth="1"/>
    <col min="3843" max="3843" width="14" style="23" customWidth="1"/>
    <col min="3844" max="3844" width="15.140625" style="23" customWidth="1"/>
    <col min="3845" max="3845" width="16.5703125" style="23" customWidth="1"/>
    <col min="3846" max="3846" width="12.42578125" style="23" customWidth="1"/>
    <col min="3847" max="3847" width="10" style="23" customWidth="1"/>
    <col min="3848" max="3848" width="10.5703125" style="23" customWidth="1"/>
    <col min="3849" max="3849" width="10.140625" style="23" customWidth="1"/>
    <col min="3850" max="3850" width="18" style="23" customWidth="1"/>
    <col min="3851" max="3851" width="17.42578125" style="23" customWidth="1"/>
    <col min="3852" max="3852" width="12.42578125" style="23" customWidth="1"/>
    <col min="3853" max="3854" width="12.5703125" style="23" customWidth="1"/>
    <col min="3855" max="4097" width="9.140625" style="23"/>
    <col min="4098" max="4098" width="5.85546875" style="23" customWidth="1"/>
    <col min="4099" max="4099" width="14" style="23" customWidth="1"/>
    <col min="4100" max="4100" width="15.140625" style="23" customWidth="1"/>
    <col min="4101" max="4101" width="16.5703125" style="23" customWidth="1"/>
    <col min="4102" max="4102" width="12.42578125" style="23" customWidth="1"/>
    <col min="4103" max="4103" width="10" style="23" customWidth="1"/>
    <col min="4104" max="4104" width="10.5703125" style="23" customWidth="1"/>
    <col min="4105" max="4105" width="10.140625" style="23" customWidth="1"/>
    <col min="4106" max="4106" width="18" style="23" customWidth="1"/>
    <col min="4107" max="4107" width="17.42578125" style="23" customWidth="1"/>
    <col min="4108" max="4108" width="12.42578125" style="23" customWidth="1"/>
    <col min="4109" max="4110" width="12.5703125" style="23" customWidth="1"/>
    <col min="4111" max="4353" width="9.140625" style="23"/>
    <col min="4354" max="4354" width="5.85546875" style="23" customWidth="1"/>
    <col min="4355" max="4355" width="14" style="23" customWidth="1"/>
    <col min="4356" max="4356" width="15.140625" style="23" customWidth="1"/>
    <col min="4357" max="4357" width="16.5703125" style="23" customWidth="1"/>
    <col min="4358" max="4358" width="12.42578125" style="23" customWidth="1"/>
    <col min="4359" max="4359" width="10" style="23" customWidth="1"/>
    <col min="4360" max="4360" width="10.5703125" style="23" customWidth="1"/>
    <col min="4361" max="4361" width="10.140625" style="23" customWidth="1"/>
    <col min="4362" max="4362" width="18" style="23" customWidth="1"/>
    <col min="4363" max="4363" width="17.42578125" style="23" customWidth="1"/>
    <col min="4364" max="4364" width="12.42578125" style="23" customWidth="1"/>
    <col min="4365" max="4366" width="12.5703125" style="23" customWidth="1"/>
    <col min="4367" max="4609" width="9.140625" style="23"/>
    <col min="4610" max="4610" width="5.85546875" style="23" customWidth="1"/>
    <col min="4611" max="4611" width="14" style="23" customWidth="1"/>
    <col min="4612" max="4612" width="15.140625" style="23" customWidth="1"/>
    <col min="4613" max="4613" width="16.5703125" style="23" customWidth="1"/>
    <col min="4614" max="4614" width="12.42578125" style="23" customWidth="1"/>
    <col min="4615" max="4615" width="10" style="23" customWidth="1"/>
    <col min="4616" max="4616" width="10.5703125" style="23" customWidth="1"/>
    <col min="4617" max="4617" width="10.140625" style="23" customWidth="1"/>
    <col min="4618" max="4618" width="18" style="23" customWidth="1"/>
    <col min="4619" max="4619" width="17.42578125" style="23" customWidth="1"/>
    <col min="4620" max="4620" width="12.42578125" style="23" customWidth="1"/>
    <col min="4621" max="4622" width="12.5703125" style="23" customWidth="1"/>
    <col min="4623" max="4865" width="9.140625" style="23"/>
    <col min="4866" max="4866" width="5.85546875" style="23" customWidth="1"/>
    <col min="4867" max="4867" width="14" style="23" customWidth="1"/>
    <col min="4868" max="4868" width="15.140625" style="23" customWidth="1"/>
    <col min="4869" max="4869" width="16.5703125" style="23" customWidth="1"/>
    <col min="4870" max="4870" width="12.42578125" style="23" customWidth="1"/>
    <col min="4871" max="4871" width="10" style="23" customWidth="1"/>
    <col min="4872" max="4872" width="10.5703125" style="23" customWidth="1"/>
    <col min="4873" max="4873" width="10.140625" style="23" customWidth="1"/>
    <col min="4874" max="4874" width="18" style="23" customWidth="1"/>
    <col min="4875" max="4875" width="17.42578125" style="23" customWidth="1"/>
    <col min="4876" max="4876" width="12.42578125" style="23" customWidth="1"/>
    <col min="4877" max="4878" width="12.5703125" style="23" customWidth="1"/>
    <col min="4879" max="5121" width="9.140625" style="23"/>
    <col min="5122" max="5122" width="5.85546875" style="23" customWidth="1"/>
    <col min="5123" max="5123" width="14" style="23" customWidth="1"/>
    <col min="5124" max="5124" width="15.140625" style="23" customWidth="1"/>
    <col min="5125" max="5125" width="16.5703125" style="23" customWidth="1"/>
    <col min="5126" max="5126" width="12.42578125" style="23" customWidth="1"/>
    <col min="5127" max="5127" width="10" style="23" customWidth="1"/>
    <col min="5128" max="5128" width="10.5703125" style="23" customWidth="1"/>
    <col min="5129" max="5129" width="10.140625" style="23" customWidth="1"/>
    <col min="5130" max="5130" width="18" style="23" customWidth="1"/>
    <col min="5131" max="5131" width="17.42578125" style="23" customWidth="1"/>
    <col min="5132" max="5132" width="12.42578125" style="23" customWidth="1"/>
    <col min="5133" max="5134" width="12.5703125" style="23" customWidth="1"/>
    <col min="5135" max="5377" width="9.140625" style="23"/>
    <col min="5378" max="5378" width="5.85546875" style="23" customWidth="1"/>
    <col min="5379" max="5379" width="14" style="23" customWidth="1"/>
    <col min="5380" max="5380" width="15.140625" style="23" customWidth="1"/>
    <col min="5381" max="5381" width="16.5703125" style="23" customWidth="1"/>
    <col min="5382" max="5382" width="12.42578125" style="23" customWidth="1"/>
    <col min="5383" max="5383" width="10" style="23" customWidth="1"/>
    <col min="5384" max="5384" width="10.5703125" style="23" customWidth="1"/>
    <col min="5385" max="5385" width="10.140625" style="23" customWidth="1"/>
    <col min="5386" max="5386" width="18" style="23" customWidth="1"/>
    <col min="5387" max="5387" width="17.42578125" style="23" customWidth="1"/>
    <col min="5388" max="5388" width="12.42578125" style="23" customWidth="1"/>
    <col min="5389" max="5390" width="12.5703125" style="23" customWidth="1"/>
    <col min="5391" max="5633" width="9.140625" style="23"/>
    <col min="5634" max="5634" width="5.85546875" style="23" customWidth="1"/>
    <col min="5635" max="5635" width="14" style="23" customWidth="1"/>
    <col min="5636" max="5636" width="15.140625" style="23" customWidth="1"/>
    <col min="5637" max="5637" width="16.5703125" style="23" customWidth="1"/>
    <col min="5638" max="5638" width="12.42578125" style="23" customWidth="1"/>
    <col min="5639" max="5639" width="10" style="23" customWidth="1"/>
    <col min="5640" max="5640" width="10.5703125" style="23" customWidth="1"/>
    <col min="5641" max="5641" width="10.140625" style="23" customWidth="1"/>
    <col min="5642" max="5642" width="18" style="23" customWidth="1"/>
    <col min="5643" max="5643" width="17.42578125" style="23" customWidth="1"/>
    <col min="5644" max="5644" width="12.42578125" style="23" customWidth="1"/>
    <col min="5645" max="5646" width="12.5703125" style="23" customWidth="1"/>
    <col min="5647" max="5889" width="9.140625" style="23"/>
    <col min="5890" max="5890" width="5.85546875" style="23" customWidth="1"/>
    <col min="5891" max="5891" width="14" style="23" customWidth="1"/>
    <col min="5892" max="5892" width="15.140625" style="23" customWidth="1"/>
    <col min="5893" max="5893" width="16.5703125" style="23" customWidth="1"/>
    <col min="5894" max="5894" width="12.42578125" style="23" customWidth="1"/>
    <col min="5895" max="5895" width="10" style="23" customWidth="1"/>
    <col min="5896" max="5896" width="10.5703125" style="23" customWidth="1"/>
    <col min="5897" max="5897" width="10.140625" style="23" customWidth="1"/>
    <col min="5898" max="5898" width="18" style="23" customWidth="1"/>
    <col min="5899" max="5899" width="17.42578125" style="23" customWidth="1"/>
    <col min="5900" max="5900" width="12.42578125" style="23" customWidth="1"/>
    <col min="5901" max="5902" width="12.5703125" style="23" customWidth="1"/>
    <col min="5903" max="6145" width="9.140625" style="23"/>
    <col min="6146" max="6146" width="5.85546875" style="23" customWidth="1"/>
    <col min="6147" max="6147" width="14" style="23" customWidth="1"/>
    <col min="6148" max="6148" width="15.140625" style="23" customWidth="1"/>
    <col min="6149" max="6149" width="16.5703125" style="23" customWidth="1"/>
    <col min="6150" max="6150" width="12.42578125" style="23" customWidth="1"/>
    <col min="6151" max="6151" width="10" style="23" customWidth="1"/>
    <col min="6152" max="6152" width="10.5703125" style="23" customWidth="1"/>
    <col min="6153" max="6153" width="10.140625" style="23" customWidth="1"/>
    <col min="6154" max="6154" width="18" style="23" customWidth="1"/>
    <col min="6155" max="6155" width="17.42578125" style="23" customWidth="1"/>
    <col min="6156" max="6156" width="12.42578125" style="23" customWidth="1"/>
    <col min="6157" max="6158" width="12.5703125" style="23" customWidth="1"/>
    <col min="6159" max="6401" width="9.140625" style="23"/>
    <col min="6402" max="6402" width="5.85546875" style="23" customWidth="1"/>
    <col min="6403" max="6403" width="14" style="23" customWidth="1"/>
    <col min="6404" max="6404" width="15.140625" style="23" customWidth="1"/>
    <col min="6405" max="6405" width="16.5703125" style="23" customWidth="1"/>
    <col min="6406" max="6406" width="12.42578125" style="23" customWidth="1"/>
    <col min="6407" max="6407" width="10" style="23" customWidth="1"/>
    <col min="6408" max="6408" width="10.5703125" style="23" customWidth="1"/>
    <col min="6409" max="6409" width="10.140625" style="23" customWidth="1"/>
    <col min="6410" max="6410" width="18" style="23" customWidth="1"/>
    <col min="6411" max="6411" width="17.42578125" style="23" customWidth="1"/>
    <col min="6412" max="6412" width="12.42578125" style="23" customWidth="1"/>
    <col min="6413" max="6414" width="12.5703125" style="23" customWidth="1"/>
    <col min="6415" max="6657" width="9.140625" style="23"/>
    <col min="6658" max="6658" width="5.85546875" style="23" customWidth="1"/>
    <col min="6659" max="6659" width="14" style="23" customWidth="1"/>
    <col min="6660" max="6660" width="15.140625" style="23" customWidth="1"/>
    <col min="6661" max="6661" width="16.5703125" style="23" customWidth="1"/>
    <col min="6662" max="6662" width="12.42578125" style="23" customWidth="1"/>
    <col min="6663" max="6663" width="10" style="23" customWidth="1"/>
    <col min="6664" max="6664" width="10.5703125" style="23" customWidth="1"/>
    <col min="6665" max="6665" width="10.140625" style="23" customWidth="1"/>
    <col min="6666" max="6666" width="18" style="23" customWidth="1"/>
    <col min="6667" max="6667" width="17.42578125" style="23" customWidth="1"/>
    <col min="6668" max="6668" width="12.42578125" style="23" customWidth="1"/>
    <col min="6669" max="6670" width="12.5703125" style="23" customWidth="1"/>
    <col min="6671" max="6913" width="9.140625" style="23"/>
    <col min="6914" max="6914" width="5.85546875" style="23" customWidth="1"/>
    <col min="6915" max="6915" width="14" style="23" customWidth="1"/>
    <col min="6916" max="6916" width="15.140625" style="23" customWidth="1"/>
    <col min="6917" max="6917" width="16.5703125" style="23" customWidth="1"/>
    <col min="6918" max="6918" width="12.42578125" style="23" customWidth="1"/>
    <col min="6919" max="6919" width="10" style="23" customWidth="1"/>
    <col min="6920" max="6920" width="10.5703125" style="23" customWidth="1"/>
    <col min="6921" max="6921" width="10.140625" style="23" customWidth="1"/>
    <col min="6922" max="6922" width="18" style="23" customWidth="1"/>
    <col min="6923" max="6923" width="17.42578125" style="23" customWidth="1"/>
    <col min="6924" max="6924" width="12.42578125" style="23" customWidth="1"/>
    <col min="6925" max="6926" width="12.5703125" style="23" customWidth="1"/>
    <col min="6927" max="7169" width="9.140625" style="23"/>
    <col min="7170" max="7170" width="5.85546875" style="23" customWidth="1"/>
    <col min="7171" max="7171" width="14" style="23" customWidth="1"/>
    <col min="7172" max="7172" width="15.140625" style="23" customWidth="1"/>
    <col min="7173" max="7173" width="16.5703125" style="23" customWidth="1"/>
    <col min="7174" max="7174" width="12.42578125" style="23" customWidth="1"/>
    <col min="7175" max="7175" width="10" style="23" customWidth="1"/>
    <col min="7176" max="7176" width="10.5703125" style="23" customWidth="1"/>
    <col min="7177" max="7177" width="10.140625" style="23" customWidth="1"/>
    <col min="7178" max="7178" width="18" style="23" customWidth="1"/>
    <col min="7179" max="7179" width="17.42578125" style="23" customWidth="1"/>
    <col min="7180" max="7180" width="12.42578125" style="23" customWidth="1"/>
    <col min="7181" max="7182" width="12.5703125" style="23" customWidth="1"/>
    <col min="7183" max="7425" width="9.140625" style="23"/>
    <col min="7426" max="7426" width="5.85546875" style="23" customWidth="1"/>
    <col min="7427" max="7427" width="14" style="23" customWidth="1"/>
    <col min="7428" max="7428" width="15.140625" style="23" customWidth="1"/>
    <col min="7429" max="7429" width="16.5703125" style="23" customWidth="1"/>
    <col min="7430" max="7430" width="12.42578125" style="23" customWidth="1"/>
    <col min="7431" max="7431" width="10" style="23" customWidth="1"/>
    <col min="7432" max="7432" width="10.5703125" style="23" customWidth="1"/>
    <col min="7433" max="7433" width="10.140625" style="23" customWidth="1"/>
    <col min="7434" max="7434" width="18" style="23" customWidth="1"/>
    <col min="7435" max="7435" width="17.42578125" style="23" customWidth="1"/>
    <col min="7436" max="7436" width="12.42578125" style="23" customWidth="1"/>
    <col min="7437" max="7438" width="12.5703125" style="23" customWidth="1"/>
    <col min="7439" max="7681" width="9.140625" style="23"/>
    <col min="7682" max="7682" width="5.85546875" style="23" customWidth="1"/>
    <col min="7683" max="7683" width="14" style="23" customWidth="1"/>
    <col min="7684" max="7684" width="15.140625" style="23" customWidth="1"/>
    <col min="7685" max="7685" width="16.5703125" style="23" customWidth="1"/>
    <col min="7686" max="7686" width="12.42578125" style="23" customWidth="1"/>
    <col min="7687" max="7687" width="10" style="23" customWidth="1"/>
    <col min="7688" max="7688" width="10.5703125" style="23" customWidth="1"/>
    <col min="7689" max="7689" width="10.140625" style="23" customWidth="1"/>
    <col min="7690" max="7690" width="18" style="23" customWidth="1"/>
    <col min="7691" max="7691" width="17.42578125" style="23" customWidth="1"/>
    <col min="7692" max="7692" width="12.42578125" style="23" customWidth="1"/>
    <col min="7693" max="7694" width="12.5703125" style="23" customWidth="1"/>
    <col min="7695" max="7937" width="9.140625" style="23"/>
    <col min="7938" max="7938" width="5.85546875" style="23" customWidth="1"/>
    <col min="7939" max="7939" width="14" style="23" customWidth="1"/>
    <col min="7940" max="7940" width="15.140625" style="23" customWidth="1"/>
    <col min="7941" max="7941" width="16.5703125" style="23" customWidth="1"/>
    <col min="7942" max="7942" width="12.42578125" style="23" customWidth="1"/>
    <col min="7943" max="7943" width="10" style="23" customWidth="1"/>
    <col min="7944" max="7944" width="10.5703125" style="23" customWidth="1"/>
    <col min="7945" max="7945" width="10.140625" style="23" customWidth="1"/>
    <col min="7946" max="7946" width="18" style="23" customWidth="1"/>
    <col min="7947" max="7947" width="17.42578125" style="23" customWidth="1"/>
    <col min="7948" max="7948" width="12.42578125" style="23" customWidth="1"/>
    <col min="7949" max="7950" width="12.5703125" style="23" customWidth="1"/>
    <col min="7951" max="8193" width="9.140625" style="23"/>
    <col min="8194" max="8194" width="5.85546875" style="23" customWidth="1"/>
    <col min="8195" max="8195" width="14" style="23" customWidth="1"/>
    <col min="8196" max="8196" width="15.140625" style="23" customWidth="1"/>
    <col min="8197" max="8197" width="16.5703125" style="23" customWidth="1"/>
    <col min="8198" max="8198" width="12.42578125" style="23" customWidth="1"/>
    <col min="8199" max="8199" width="10" style="23" customWidth="1"/>
    <col min="8200" max="8200" width="10.5703125" style="23" customWidth="1"/>
    <col min="8201" max="8201" width="10.140625" style="23" customWidth="1"/>
    <col min="8202" max="8202" width="18" style="23" customWidth="1"/>
    <col min="8203" max="8203" width="17.42578125" style="23" customWidth="1"/>
    <col min="8204" max="8204" width="12.42578125" style="23" customWidth="1"/>
    <col min="8205" max="8206" width="12.5703125" style="23" customWidth="1"/>
    <col min="8207" max="8449" width="9.140625" style="23"/>
    <col min="8450" max="8450" width="5.85546875" style="23" customWidth="1"/>
    <col min="8451" max="8451" width="14" style="23" customWidth="1"/>
    <col min="8452" max="8452" width="15.140625" style="23" customWidth="1"/>
    <col min="8453" max="8453" width="16.5703125" style="23" customWidth="1"/>
    <col min="8454" max="8454" width="12.42578125" style="23" customWidth="1"/>
    <col min="8455" max="8455" width="10" style="23" customWidth="1"/>
    <col min="8456" max="8456" width="10.5703125" style="23" customWidth="1"/>
    <col min="8457" max="8457" width="10.140625" style="23" customWidth="1"/>
    <col min="8458" max="8458" width="18" style="23" customWidth="1"/>
    <col min="8459" max="8459" width="17.42578125" style="23" customWidth="1"/>
    <col min="8460" max="8460" width="12.42578125" style="23" customWidth="1"/>
    <col min="8461" max="8462" width="12.5703125" style="23" customWidth="1"/>
    <col min="8463" max="8705" width="9.140625" style="23"/>
    <col min="8706" max="8706" width="5.85546875" style="23" customWidth="1"/>
    <col min="8707" max="8707" width="14" style="23" customWidth="1"/>
    <col min="8708" max="8708" width="15.140625" style="23" customWidth="1"/>
    <col min="8709" max="8709" width="16.5703125" style="23" customWidth="1"/>
    <col min="8710" max="8710" width="12.42578125" style="23" customWidth="1"/>
    <col min="8711" max="8711" width="10" style="23" customWidth="1"/>
    <col min="8712" max="8712" width="10.5703125" style="23" customWidth="1"/>
    <col min="8713" max="8713" width="10.140625" style="23" customWidth="1"/>
    <col min="8714" max="8714" width="18" style="23" customWidth="1"/>
    <col min="8715" max="8715" width="17.42578125" style="23" customWidth="1"/>
    <col min="8716" max="8716" width="12.42578125" style="23" customWidth="1"/>
    <col min="8717" max="8718" width="12.5703125" style="23" customWidth="1"/>
    <col min="8719" max="8961" width="9.140625" style="23"/>
    <col min="8962" max="8962" width="5.85546875" style="23" customWidth="1"/>
    <col min="8963" max="8963" width="14" style="23" customWidth="1"/>
    <col min="8964" max="8964" width="15.140625" style="23" customWidth="1"/>
    <col min="8965" max="8965" width="16.5703125" style="23" customWidth="1"/>
    <col min="8966" max="8966" width="12.42578125" style="23" customWidth="1"/>
    <col min="8967" max="8967" width="10" style="23" customWidth="1"/>
    <col min="8968" max="8968" width="10.5703125" style="23" customWidth="1"/>
    <col min="8969" max="8969" width="10.140625" style="23" customWidth="1"/>
    <col min="8970" max="8970" width="18" style="23" customWidth="1"/>
    <col min="8971" max="8971" width="17.42578125" style="23" customWidth="1"/>
    <col min="8972" max="8972" width="12.42578125" style="23" customWidth="1"/>
    <col min="8973" max="8974" width="12.5703125" style="23" customWidth="1"/>
    <col min="8975" max="9217" width="9.140625" style="23"/>
    <col min="9218" max="9218" width="5.85546875" style="23" customWidth="1"/>
    <col min="9219" max="9219" width="14" style="23" customWidth="1"/>
    <col min="9220" max="9220" width="15.140625" style="23" customWidth="1"/>
    <col min="9221" max="9221" width="16.5703125" style="23" customWidth="1"/>
    <col min="9222" max="9222" width="12.42578125" style="23" customWidth="1"/>
    <col min="9223" max="9223" width="10" style="23" customWidth="1"/>
    <col min="9224" max="9224" width="10.5703125" style="23" customWidth="1"/>
    <col min="9225" max="9225" width="10.140625" style="23" customWidth="1"/>
    <col min="9226" max="9226" width="18" style="23" customWidth="1"/>
    <col min="9227" max="9227" width="17.42578125" style="23" customWidth="1"/>
    <col min="9228" max="9228" width="12.42578125" style="23" customWidth="1"/>
    <col min="9229" max="9230" width="12.5703125" style="23" customWidth="1"/>
    <col min="9231" max="9473" width="9.140625" style="23"/>
    <col min="9474" max="9474" width="5.85546875" style="23" customWidth="1"/>
    <col min="9475" max="9475" width="14" style="23" customWidth="1"/>
    <col min="9476" max="9476" width="15.140625" style="23" customWidth="1"/>
    <col min="9477" max="9477" width="16.5703125" style="23" customWidth="1"/>
    <col min="9478" max="9478" width="12.42578125" style="23" customWidth="1"/>
    <col min="9479" max="9479" width="10" style="23" customWidth="1"/>
    <col min="9480" max="9480" width="10.5703125" style="23" customWidth="1"/>
    <col min="9481" max="9481" width="10.140625" style="23" customWidth="1"/>
    <col min="9482" max="9482" width="18" style="23" customWidth="1"/>
    <col min="9483" max="9483" width="17.42578125" style="23" customWidth="1"/>
    <col min="9484" max="9484" width="12.42578125" style="23" customWidth="1"/>
    <col min="9485" max="9486" width="12.5703125" style="23" customWidth="1"/>
    <col min="9487" max="9729" width="9.140625" style="23"/>
    <col min="9730" max="9730" width="5.85546875" style="23" customWidth="1"/>
    <col min="9731" max="9731" width="14" style="23" customWidth="1"/>
    <col min="9732" max="9732" width="15.140625" style="23" customWidth="1"/>
    <col min="9733" max="9733" width="16.5703125" style="23" customWidth="1"/>
    <col min="9734" max="9734" width="12.42578125" style="23" customWidth="1"/>
    <col min="9735" max="9735" width="10" style="23" customWidth="1"/>
    <col min="9736" max="9736" width="10.5703125" style="23" customWidth="1"/>
    <col min="9737" max="9737" width="10.140625" style="23" customWidth="1"/>
    <col min="9738" max="9738" width="18" style="23" customWidth="1"/>
    <col min="9739" max="9739" width="17.42578125" style="23" customWidth="1"/>
    <col min="9740" max="9740" width="12.42578125" style="23" customWidth="1"/>
    <col min="9741" max="9742" width="12.5703125" style="23" customWidth="1"/>
    <col min="9743" max="9985" width="9.140625" style="23"/>
    <col min="9986" max="9986" width="5.85546875" style="23" customWidth="1"/>
    <col min="9987" max="9987" width="14" style="23" customWidth="1"/>
    <col min="9988" max="9988" width="15.140625" style="23" customWidth="1"/>
    <col min="9989" max="9989" width="16.5703125" style="23" customWidth="1"/>
    <col min="9990" max="9990" width="12.42578125" style="23" customWidth="1"/>
    <col min="9991" max="9991" width="10" style="23" customWidth="1"/>
    <col min="9992" max="9992" width="10.5703125" style="23" customWidth="1"/>
    <col min="9993" max="9993" width="10.140625" style="23" customWidth="1"/>
    <col min="9994" max="9994" width="18" style="23" customWidth="1"/>
    <col min="9995" max="9995" width="17.42578125" style="23" customWidth="1"/>
    <col min="9996" max="9996" width="12.42578125" style="23" customWidth="1"/>
    <col min="9997" max="9998" width="12.5703125" style="23" customWidth="1"/>
    <col min="9999" max="10241" width="9.140625" style="23"/>
    <col min="10242" max="10242" width="5.85546875" style="23" customWidth="1"/>
    <col min="10243" max="10243" width="14" style="23" customWidth="1"/>
    <col min="10244" max="10244" width="15.140625" style="23" customWidth="1"/>
    <col min="10245" max="10245" width="16.5703125" style="23" customWidth="1"/>
    <col min="10246" max="10246" width="12.42578125" style="23" customWidth="1"/>
    <col min="10247" max="10247" width="10" style="23" customWidth="1"/>
    <col min="10248" max="10248" width="10.5703125" style="23" customWidth="1"/>
    <col min="10249" max="10249" width="10.140625" style="23" customWidth="1"/>
    <col min="10250" max="10250" width="18" style="23" customWidth="1"/>
    <col min="10251" max="10251" width="17.42578125" style="23" customWidth="1"/>
    <col min="10252" max="10252" width="12.42578125" style="23" customWidth="1"/>
    <col min="10253" max="10254" width="12.5703125" style="23" customWidth="1"/>
    <col min="10255" max="10497" width="9.140625" style="23"/>
    <col min="10498" max="10498" width="5.85546875" style="23" customWidth="1"/>
    <col min="10499" max="10499" width="14" style="23" customWidth="1"/>
    <col min="10500" max="10500" width="15.140625" style="23" customWidth="1"/>
    <col min="10501" max="10501" width="16.5703125" style="23" customWidth="1"/>
    <col min="10502" max="10502" width="12.42578125" style="23" customWidth="1"/>
    <col min="10503" max="10503" width="10" style="23" customWidth="1"/>
    <col min="10504" max="10504" width="10.5703125" style="23" customWidth="1"/>
    <col min="10505" max="10505" width="10.140625" style="23" customWidth="1"/>
    <col min="10506" max="10506" width="18" style="23" customWidth="1"/>
    <col min="10507" max="10507" width="17.42578125" style="23" customWidth="1"/>
    <col min="10508" max="10508" width="12.42578125" style="23" customWidth="1"/>
    <col min="10509" max="10510" width="12.5703125" style="23" customWidth="1"/>
    <col min="10511" max="10753" width="9.140625" style="23"/>
    <col min="10754" max="10754" width="5.85546875" style="23" customWidth="1"/>
    <col min="10755" max="10755" width="14" style="23" customWidth="1"/>
    <col min="10756" max="10756" width="15.140625" style="23" customWidth="1"/>
    <col min="10757" max="10757" width="16.5703125" style="23" customWidth="1"/>
    <col min="10758" max="10758" width="12.42578125" style="23" customWidth="1"/>
    <col min="10759" max="10759" width="10" style="23" customWidth="1"/>
    <col min="10760" max="10760" width="10.5703125" style="23" customWidth="1"/>
    <col min="10761" max="10761" width="10.140625" style="23" customWidth="1"/>
    <col min="10762" max="10762" width="18" style="23" customWidth="1"/>
    <col min="10763" max="10763" width="17.42578125" style="23" customWidth="1"/>
    <col min="10764" max="10764" width="12.42578125" style="23" customWidth="1"/>
    <col min="10765" max="10766" width="12.5703125" style="23" customWidth="1"/>
    <col min="10767" max="11009" width="9.140625" style="23"/>
    <col min="11010" max="11010" width="5.85546875" style="23" customWidth="1"/>
    <col min="11011" max="11011" width="14" style="23" customWidth="1"/>
    <col min="11012" max="11012" width="15.140625" style="23" customWidth="1"/>
    <col min="11013" max="11013" width="16.5703125" style="23" customWidth="1"/>
    <col min="11014" max="11014" width="12.42578125" style="23" customWidth="1"/>
    <col min="11015" max="11015" width="10" style="23" customWidth="1"/>
    <col min="11016" max="11016" width="10.5703125" style="23" customWidth="1"/>
    <col min="11017" max="11017" width="10.140625" style="23" customWidth="1"/>
    <col min="11018" max="11018" width="18" style="23" customWidth="1"/>
    <col min="11019" max="11019" width="17.42578125" style="23" customWidth="1"/>
    <col min="11020" max="11020" width="12.42578125" style="23" customWidth="1"/>
    <col min="11021" max="11022" width="12.5703125" style="23" customWidth="1"/>
    <col min="11023" max="11265" width="9.140625" style="23"/>
    <col min="11266" max="11266" width="5.85546875" style="23" customWidth="1"/>
    <col min="11267" max="11267" width="14" style="23" customWidth="1"/>
    <col min="11268" max="11268" width="15.140625" style="23" customWidth="1"/>
    <col min="11269" max="11269" width="16.5703125" style="23" customWidth="1"/>
    <col min="11270" max="11270" width="12.42578125" style="23" customWidth="1"/>
    <col min="11271" max="11271" width="10" style="23" customWidth="1"/>
    <col min="11272" max="11272" width="10.5703125" style="23" customWidth="1"/>
    <col min="11273" max="11273" width="10.140625" style="23" customWidth="1"/>
    <col min="11274" max="11274" width="18" style="23" customWidth="1"/>
    <col min="11275" max="11275" width="17.42578125" style="23" customWidth="1"/>
    <col min="11276" max="11276" width="12.42578125" style="23" customWidth="1"/>
    <col min="11277" max="11278" width="12.5703125" style="23" customWidth="1"/>
    <col min="11279" max="11521" width="9.140625" style="23"/>
    <col min="11522" max="11522" width="5.85546875" style="23" customWidth="1"/>
    <col min="11523" max="11523" width="14" style="23" customWidth="1"/>
    <col min="11524" max="11524" width="15.140625" style="23" customWidth="1"/>
    <col min="11525" max="11525" width="16.5703125" style="23" customWidth="1"/>
    <col min="11526" max="11526" width="12.42578125" style="23" customWidth="1"/>
    <col min="11527" max="11527" width="10" style="23" customWidth="1"/>
    <col min="11528" max="11528" width="10.5703125" style="23" customWidth="1"/>
    <col min="11529" max="11529" width="10.140625" style="23" customWidth="1"/>
    <col min="11530" max="11530" width="18" style="23" customWidth="1"/>
    <col min="11531" max="11531" width="17.42578125" style="23" customWidth="1"/>
    <col min="11532" max="11532" width="12.42578125" style="23" customWidth="1"/>
    <col min="11533" max="11534" width="12.5703125" style="23" customWidth="1"/>
    <col min="11535" max="11777" width="9.140625" style="23"/>
    <col min="11778" max="11778" width="5.85546875" style="23" customWidth="1"/>
    <col min="11779" max="11779" width="14" style="23" customWidth="1"/>
    <col min="11780" max="11780" width="15.140625" style="23" customWidth="1"/>
    <col min="11781" max="11781" width="16.5703125" style="23" customWidth="1"/>
    <col min="11782" max="11782" width="12.42578125" style="23" customWidth="1"/>
    <col min="11783" max="11783" width="10" style="23" customWidth="1"/>
    <col min="11784" max="11784" width="10.5703125" style="23" customWidth="1"/>
    <col min="11785" max="11785" width="10.140625" style="23" customWidth="1"/>
    <col min="11786" max="11786" width="18" style="23" customWidth="1"/>
    <col min="11787" max="11787" width="17.42578125" style="23" customWidth="1"/>
    <col min="11788" max="11788" width="12.42578125" style="23" customWidth="1"/>
    <col min="11789" max="11790" width="12.5703125" style="23" customWidth="1"/>
    <col min="11791" max="12033" width="9.140625" style="23"/>
    <col min="12034" max="12034" width="5.85546875" style="23" customWidth="1"/>
    <col min="12035" max="12035" width="14" style="23" customWidth="1"/>
    <col min="12036" max="12036" width="15.140625" style="23" customWidth="1"/>
    <col min="12037" max="12037" width="16.5703125" style="23" customWidth="1"/>
    <col min="12038" max="12038" width="12.42578125" style="23" customWidth="1"/>
    <col min="12039" max="12039" width="10" style="23" customWidth="1"/>
    <col min="12040" max="12040" width="10.5703125" style="23" customWidth="1"/>
    <col min="12041" max="12041" width="10.140625" style="23" customWidth="1"/>
    <col min="12042" max="12042" width="18" style="23" customWidth="1"/>
    <col min="12043" max="12043" width="17.42578125" style="23" customWidth="1"/>
    <col min="12044" max="12044" width="12.42578125" style="23" customWidth="1"/>
    <col min="12045" max="12046" width="12.5703125" style="23" customWidth="1"/>
    <col min="12047" max="12289" width="9.140625" style="23"/>
    <col min="12290" max="12290" width="5.85546875" style="23" customWidth="1"/>
    <col min="12291" max="12291" width="14" style="23" customWidth="1"/>
    <col min="12292" max="12292" width="15.140625" style="23" customWidth="1"/>
    <col min="12293" max="12293" width="16.5703125" style="23" customWidth="1"/>
    <col min="12294" max="12294" width="12.42578125" style="23" customWidth="1"/>
    <col min="12295" max="12295" width="10" style="23" customWidth="1"/>
    <col min="12296" max="12296" width="10.5703125" style="23" customWidth="1"/>
    <col min="12297" max="12297" width="10.140625" style="23" customWidth="1"/>
    <col min="12298" max="12298" width="18" style="23" customWidth="1"/>
    <col min="12299" max="12299" width="17.42578125" style="23" customWidth="1"/>
    <col min="12300" max="12300" width="12.42578125" style="23" customWidth="1"/>
    <col min="12301" max="12302" width="12.5703125" style="23" customWidth="1"/>
    <col min="12303" max="12545" width="9.140625" style="23"/>
    <col min="12546" max="12546" width="5.85546875" style="23" customWidth="1"/>
    <col min="12547" max="12547" width="14" style="23" customWidth="1"/>
    <col min="12548" max="12548" width="15.140625" style="23" customWidth="1"/>
    <col min="12549" max="12549" width="16.5703125" style="23" customWidth="1"/>
    <col min="12550" max="12550" width="12.42578125" style="23" customWidth="1"/>
    <col min="12551" max="12551" width="10" style="23" customWidth="1"/>
    <col min="12552" max="12552" width="10.5703125" style="23" customWidth="1"/>
    <col min="12553" max="12553" width="10.140625" style="23" customWidth="1"/>
    <col min="12554" max="12554" width="18" style="23" customWidth="1"/>
    <col min="12555" max="12555" width="17.42578125" style="23" customWidth="1"/>
    <col min="12556" max="12556" width="12.42578125" style="23" customWidth="1"/>
    <col min="12557" max="12558" width="12.5703125" style="23" customWidth="1"/>
    <col min="12559" max="12801" width="9.140625" style="23"/>
    <col min="12802" max="12802" width="5.85546875" style="23" customWidth="1"/>
    <col min="12803" max="12803" width="14" style="23" customWidth="1"/>
    <col min="12804" max="12804" width="15.140625" style="23" customWidth="1"/>
    <col min="12805" max="12805" width="16.5703125" style="23" customWidth="1"/>
    <col min="12806" max="12806" width="12.42578125" style="23" customWidth="1"/>
    <col min="12807" max="12807" width="10" style="23" customWidth="1"/>
    <col min="12808" max="12808" width="10.5703125" style="23" customWidth="1"/>
    <col min="12809" max="12809" width="10.140625" style="23" customWidth="1"/>
    <col min="12810" max="12810" width="18" style="23" customWidth="1"/>
    <col min="12811" max="12811" width="17.42578125" style="23" customWidth="1"/>
    <col min="12812" max="12812" width="12.42578125" style="23" customWidth="1"/>
    <col min="12813" max="12814" width="12.5703125" style="23" customWidth="1"/>
    <col min="12815" max="13057" width="9.140625" style="23"/>
    <col min="13058" max="13058" width="5.85546875" style="23" customWidth="1"/>
    <col min="13059" max="13059" width="14" style="23" customWidth="1"/>
    <col min="13060" max="13060" width="15.140625" style="23" customWidth="1"/>
    <col min="13061" max="13061" width="16.5703125" style="23" customWidth="1"/>
    <col min="13062" max="13062" width="12.42578125" style="23" customWidth="1"/>
    <col min="13063" max="13063" width="10" style="23" customWidth="1"/>
    <col min="13064" max="13064" width="10.5703125" style="23" customWidth="1"/>
    <col min="13065" max="13065" width="10.140625" style="23" customWidth="1"/>
    <col min="13066" max="13066" width="18" style="23" customWidth="1"/>
    <col min="13067" max="13067" width="17.42578125" style="23" customWidth="1"/>
    <col min="13068" max="13068" width="12.42578125" style="23" customWidth="1"/>
    <col min="13069" max="13070" width="12.5703125" style="23" customWidth="1"/>
    <col min="13071" max="13313" width="9.140625" style="23"/>
    <col min="13314" max="13314" width="5.85546875" style="23" customWidth="1"/>
    <col min="13315" max="13315" width="14" style="23" customWidth="1"/>
    <col min="13316" max="13316" width="15.140625" style="23" customWidth="1"/>
    <col min="13317" max="13317" width="16.5703125" style="23" customWidth="1"/>
    <col min="13318" max="13318" width="12.42578125" style="23" customWidth="1"/>
    <col min="13319" max="13319" width="10" style="23" customWidth="1"/>
    <col min="13320" max="13320" width="10.5703125" style="23" customWidth="1"/>
    <col min="13321" max="13321" width="10.140625" style="23" customWidth="1"/>
    <col min="13322" max="13322" width="18" style="23" customWidth="1"/>
    <col min="13323" max="13323" width="17.42578125" style="23" customWidth="1"/>
    <col min="13324" max="13324" width="12.42578125" style="23" customWidth="1"/>
    <col min="13325" max="13326" width="12.5703125" style="23" customWidth="1"/>
    <col min="13327" max="13569" width="9.140625" style="23"/>
    <col min="13570" max="13570" width="5.85546875" style="23" customWidth="1"/>
    <col min="13571" max="13571" width="14" style="23" customWidth="1"/>
    <col min="13572" max="13572" width="15.140625" style="23" customWidth="1"/>
    <col min="13573" max="13573" width="16.5703125" style="23" customWidth="1"/>
    <col min="13574" max="13574" width="12.42578125" style="23" customWidth="1"/>
    <col min="13575" max="13575" width="10" style="23" customWidth="1"/>
    <col min="13576" max="13576" width="10.5703125" style="23" customWidth="1"/>
    <col min="13577" max="13577" width="10.140625" style="23" customWidth="1"/>
    <col min="13578" max="13578" width="18" style="23" customWidth="1"/>
    <col min="13579" max="13579" width="17.42578125" style="23" customWidth="1"/>
    <col min="13580" max="13580" width="12.42578125" style="23" customWidth="1"/>
    <col min="13581" max="13582" width="12.5703125" style="23" customWidth="1"/>
    <col min="13583" max="13825" width="9.140625" style="23"/>
    <col min="13826" max="13826" width="5.85546875" style="23" customWidth="1"/>
    <col min="13827" max="13827" width="14" style="23" customWidth="1"/>
    <col min="13828" max="13828" width="15.140625" style="23" customWidth="1"/>
    <col min="13829" max="13829" width="16.5703125" style="23" customWidth="1"/>
    <col min="13830" max="13830" width="12.42578125" style="23" customWidth="1"/>
    <col min="13831" max="13831" width="10" style="23" customWidth="1"/>
    <col min="13832" max="13832" width="10.5703125" style="23" customWidth="1"/>
    <col min="13833" max="13833" width="10.140625" style="23" customWidth="1"/>
    <col min="13834" max="13834" width="18" style="23" customWidth="1"/>
    <col min="13835" max="13835" width="17.42578125" style="23" customWidth="1"/>
    <col min="13836" max="13836" width="12.42578125" style="23" customWidth="1"/>
    <col min="13837" max="13838" width="12.5703125" style="23" customWidth="1"/>
    <col min="13839" max="14081" width="9.140625" style="23"/>
    <col min="14082" max="14082" width="5.85546875" style="23" customWidth="1"/>
    <col min="14083" max="14083" width="14" style="23" customWidth="1"/>
    <col min="14084" max="14084" width="15.140625" style="23" customWidth="1"/>
    <col min="14085" max="14085" width="16.5703125" style="23" customWidth="1"/>
    <col min="14086" max="14086" width="12.42578125" style="23" customWidth="1"/>
    <col min="14087" max="14087" width="10" style="23" customWidth="1"/>
    <col min="14088" max="14088" width="10.5703125" style="23" customWidth="1"/>
    <col min="14089" max="14089" width="10.140625" style="23" customWidth="1"/>
    <col min="14090" max="14090" width="18" style="23" customWidth="1"/>
    <col min="14091" max="14091" width="17.42578125" style="23" customWidth="1"/>
    <col min="14092" max="14092" width="12.42578125" style="23" customWidth="1"/>
    <col min="14093" max="14094" width="12.5703125" style="23" customWidth="1"/>
    <col min="14095" max="14337" width="9.140625" style="23"/>
    <col min="14338" max="14338" width="5.85546875" style="23" customWidth="1"/>
    <col min="14339" max="14339" width="14" style="23" customWidth="1"/>
    <col min="14340" max="14340" width="15.140625" style="23" customWidth="1"/>
    <col min="14341" max="14341" width="16.5703125" style="23" customWidth="1"/>
    <col min="14342" max="14342" width="12.42578125" style="23" customWidth="1"/>
    <col min="14343" max="14343" width="10" style="23" customWidth="1"/>
    <col min="14344" max="14344" width="10.5703125" style="23" customWidth="1"/>
    <col min="14345" max="14345" width="10.140625" style="23" customWidth="1"/>
    <col min="14346" max="14346" width="18" style="23" customWidth="1"/>
    <col min="14347" max="14347" width="17.42578125" style="23" customWidth="1"/>
    <col min="14348" max="14348" width="12.42578125" style="23" customWidth="1"/>
    <col min="14349" max="14350" width="12.5703125" style="23" customWidth="1"/>
    <col min="14351" max="14593" width="9.140625" style="23"/>
    <col min="14594" max="14594" width="5.85546875" style="23" customWidth="1"/>
    <col min="14595" max="14595" width="14" style="23" customWidth="1"/>
    <col min="14596" max="14596" width="15.140625" style="23" customWidth="1"/>
    <col min="14597" max="14597" width="16.5703125" style="23" customWidth="1"/>
    <col min="14598" max="14598" width="12.42578125" style="23" customWidth="1"/>
    <col min="14599" max="14599" width="10" style="23" customWidth="1"/>
    <col min="14600" max="14600" width="10.5703125" style="23" customWidth="1"/>
    <col min="14601" max="14601" width="10.140625" style="23" customWidth="1"/>
    <col min="14602" max="14602" width="18" style="23" customWidth="1"/>
    <col min="14603" max="14603" width="17.42578125" style="23" customWidth="1"/>
    <col min="14604" max="14604" width="12.42578125" style="23" customWidth="1"/>
    <col min="14605" max="14606" width="12.5703125" style="23" customWidth="1"/>
    <col min="14607" max="14849" width="9.140625" style="23"/>
    <col min="14850" max="14850" width="5.85546875" style="23" customWidth="1"/>
    <col min="14851" max="14851" width="14" style="23" customWidth="1"/>
    <col min="14852" max="14852" width="15.140625" style="23" customWidth="1"/>
    <col min="14853" max="14853" width="16.5703125" style="23" customWidth="1"/>
    <col min="14854" max="14854" width="12.42578125" style="23" customWidth="1"/>
    <col min="14855" max="14855" width="10" style="23" customWidth="1"/>
    <col min="14856" max="14856" width="10.5703125" style="23" customWidth="1"/>
    <col min="14857" max="14857" width="10.140625" style="23" customWidth="1"/>
    <col min="14858" max="14858" width="18" style="23" customWidth="1"/>
    <col min="14859" max="14859" width="17.42578125" style="23" customWidth="1"/>
    <col min="14860" max="14860" width="12.42578125" style="23" customWidth="1"/>
    <col min="14861" max="14862" width="12.5703125" style="23" customWidth="1"/>
    <col min="14863" max="15105" width="9.140625" style="23"/>
    <col min="15106" max="15106" width="5.85546875" style="23" customWidth="1"/>
    <col min="15107" max="15107" width="14" style="23" customWidth="1"/>
    <col min="15108" max="15108" width="15.140625" style="23" customWidth="1"/>
    <col min="15109" max="15109" width="16.5703125" style="23" customWidth="1"/>
    <col min="15110" max="15110" width="12.42578125" style="23" customWidth="1"/>
    <col min="15111" max="15111" width="10" style="23" customWidth="1"/>
    <col min="15112" max="15112" width="10.5703125" style="23" customWidth="1"/>
    <col min="15113" max="15113" width="10.140625" style="23" customWidth="1"/>
    <col min="15114" max="15114" width="18" style="23" customWidth="1"/>
    <col min="15115" max="15115" width="17.42578125" style="23" customWidth="1"/>
    <col min="15116" max="15116" width="12.42578125" style="23" customWidth="1"/>
    <col min="15117" max="15118" width="12.5703125" style="23" customWidth="1"/>
    <col min="15119" max="15361" width="9.140625" style="23"/>
    <col min="15362" max="15362" width="5.85546875" style="23" customWidth="1"/>
    <col min="15363" max="15363" width="14" style="23" customWidth="1"/>
    <col min="15364" max="15364" width="15.140625" style="23" customWidth="1"/>
    <col min="15365" max="15365" width="16.5703125" style="23" customWidth="1"/>
    <col min="15366" max="15366" width="12.42578125" style="23" customWidth="1"/>
    <col min="15367" max="15367" width="10" style="23" customWidth="1"/>
    <col min="15368" max="15368" width="10.5703125" style="23" customWidth="1"/>
    <col min="15369" max="15369" width="10.140625" style="23" customWidth="1"/>
    <col min="15370" max="15370" width="18" style="23" customWidth="1"/>
    <col min="15371" max="15371" width="17.42578125" style="23" customWidth="1"/>
    <col min="15372" max="15372" width="12.42578125" style="23" customWidth="1"/>
    <col min="15373" max="15374" width="12.5703125" style="23" customWidth="1"/>
    <col min="15375" max="15617" width="9.140625" style="23"/>
    <col min="15618" max="15618" width="5.85546875" style="23" customWidth="1"/>
    <col min="15619" max="15619" width="14" style="23" customWidth="1"/>
    <col min="15620" max="15620" width="15.140625" style="23" customWidth="1"/>
    <col min="15621" max="15621" width="16.5703125" style="23" customWidth="1"/>
    <col min="15622" max="15622" width="12.42578125" style="23" customWidth="1"/>
    <col min="15623" max="15623" width="10" style="23" customWidth="1"/>
    <col min="15624" max="15624" width="10.5703125" style="23" customWidth="1"/>
    <col min="15625" max="15625" width="10.140625" style="23" customWidth="1"/>
    <col min="15626" max="15626" width="18" style="23" customWidth="1"/>
    <col min="15627" max="15627" width="17.42578125" style="23" customWidth="1"/>
    <col min="15628" max="15628" width="12.42578125" style="23" customWidth="1"/>
    <col min="15629" max="15630" width="12.5703125" style="23" customWidth="1"/>
    <col min="15631" max="15873" width="9.140625" style="23"/>
    <col min="15874" max="15874" width="5.85546875" style="23" customWidth="1"/>
    <col min="15875" max="15875" width="14" style="23" customWidth="1"/>
    <col min="15876" max="15876" width="15.140625" style="23" customWidth="1"/>
    <col min="15877" max="15877" width="16.5703125" style="23" customWidth="1"/>
    <col min="15878" max="15878" width="12.42578125" style="23" customWidth="1"/>
    <col min="15879" max="15879" width="10" style="23" customWidth="1"/>
    <col min="15880" max="15880" width="10.5703125" style="23" customWidth="1"/>
    <col min="15881" max="15881" width="10.140625" style="23" customWidth="1"/>
    <col min="15882" max="15882" width="18" style="23" customWidth="1"/>
    <col min="15883" max="15883" width="17.42578125" style="23" customWidth="1"/>
    <col min="15884" max="15884" width="12.42578125" style="23" customWidth="1"/>
    <col min="15885" max="15886" width="12.5703125" style="23" customWidth="1"/>
    <col min="15887" max="16129" width="9.140625" style="23"/>
    <col min="16130" max="16130" width="5.85546875" style="23" customWidth="1"/>
    <col min="16131" max="16131" width="14" style="23" customWidth="1"/>
    <col min="16132" max="16132" width="15.140625" style="23" customWidth="1"/>
    <col min="16133" max="16133" width="16.5703125" style="23" customWidth="1"/>
    <col min="16134" max="16134" width="12.42578125" style="23" customWidth="1"/>
    <col min="16135" max="16135" width="10" style="23" customWidth="1"/>
    <col min="16136" max="16136" width="10.5703125" style="23" customWidth="1"/>
    <col min="16137" max="16137" width="10.140625" style="23" customWidth="1"/>
    <col min="16138" max="16138" width="18" style="23" customWidth="1"/>
    <col min="16139" max="16139" width="17.42578125" style="23" customWidth="1"/>
    <col min="16140" max="16140" width="12.42578125" style="23" customWidth="1"/>
    <col min="16141" max="16142" width="12.5703125" style="23" customWidth="1"/>
    <col min="16143" max="16384" width="9.140625" style="23"/>
  </cols>
  <sheetData>
    <row r="1" spans="1:15" ht="44.25" customHeight="1" thickTop="1" thickBot="1" x14ac:dyDescent="0.3">
      <c r="A1" s="539" t="s">
        <v>53</v>
      </c>
      <c r="B1" s="539"/>
      <c r="C1" s="539"/>
      <c r="D1" s="539"/>
      <c r="E1" s="539"/>
      <c r="F1" s="539"/>
      <c r="G1" s="539"/>
      <c r="H1" s="539"/>
      <c r="I1" s="539"/>
      <c r="J1" s="540"/>
      <c r="K1" s="540"/>
      <c r="L1" s="540"/>
      <c r="M1" s="540"/>
      <c r="N1" s="539"/>
    </row>
    <row r="2" spans="1:15" ht="16.5" customHeight="1" thickTop="1" thickBot="1" x14ac:dyDescent="0.3">
      <c r="A2" s="537" t="s">
        <v>2</v>
      </c>
      <c r="B2" s="537" t="s">
        <v>0</v>
      </c>
      <c r="C2" s="537" t="s">
        <v>48</v>
      </c>
      <c r="D2" s="537" t="s">
        <v>37</v>
      </c>
      <c r="E2" s="537" t="s">
        <v>3</v>
      </c>
      <c r="F2" s="541" t="s">
        <v>117</v>
      </c>
      <c r="G2" s="535" t="s">
        <v>4</v>
      </c>
      <c r="H2" s="535" t="s">
        <v>5</v>
      </c>
      <c r="I2" s="535" t="s">
        <v>837</v>
      </c>
      <c r="J2" s="529" t="s">
        <v>749</v>
      </c>
      <c r="K2" s="177" t="s">
        <v>635</v>
      </c>
      <c r="L2" s="177" t="s">
        <v>638</v>
      </c>
      <c r="M2" s="220" t="s">
        <v>637</v>
      </c>
      <c r="N2" s="537" t="s">
        <v>35</v>
      </c>
    </row>
    <row r="3" spans="1:15" ht="42" customHeight="1" thickTop="1" thickBot="1" x14ac:dyDescent="0.3">
      <c r="A3" s="538"/>
      <c r="B3" s="538"/>
      <c r="C3" s="538"/>
      <c r="D3" s="538"/>
      <c r="E3" s="538"/>
      <c r="F3" s="542"/>
      <c r="G3" s="536"/>
      <c r="H3" s="536"/>
      <c r="I3" s="536"/>
      <c r="J3" s="529"/>
      <c r="K3" s="184"/>
      <c r="L3" s="184"/>
      <c r="M3" s="221"/>
      <c r="N3" s="538"/>
    </row>
    <row r="4" spans="1:15" s="94" customFormat="1" ht="113.25" customHeight="1" thickTop="1" thickBot="1" x14ac:dyDescent="0.3">
      <c r="A4" s="127">
        <v>62</v>
      </c>
      <c r="B4" s="122" t="s">
        <v>26</v>
      </c>
      <c r="C4" s="122" t="s">
        <v>234</v>
      </c>
      <c r="D4" s="122" t="s">
        <v>235</v>
      </c>
      <c r="E4" s="121" t="s">
        <v>236</v>
      </c>
      <c r="F4" s="125">
        <v>150000</v>
      </c>
      <c r="G4" s="122" t="s">
        <v>150</v>
      </c>
      <c r="H4" s="122" t="s">
        <v>158</v>
      </c>
      <c r="I4" s="122" t="s">
        <v>237</v>
      </c>
      <c r="J4" s="159" t="s">
        <v>666</v>
      </c>
      <c r="K4" s="159" t="s">
        <v>651</v>
      </c>
      <c r="L4" s="159" t="s">
        <v>641</v>
      </c>
      <c r="M4" s="222">
        <v>0</v>
      </c>
      <c r="N4" s="122" t="s">
        <v>181</v>
      </c>
      <c r="O4" s="13"/>
    </row>
    <row r="5" spans="1:15" s="13" customFormat="1" ht="113.25" customHeight="1" thickTop="1" thickBot="1" x14ac:dyDescent="0.3">
      <c r="A5" s="127">
        <v>62</v>
      </c>
      <c r="B5" s="122" t="s">
        <v>26</v>
      </c>
      <c r="C5" s="122" t="s">
        <v>234</v>
      </c>
      <c r="D5" s="122" t="s">
        <v>587</v>
      </c>
      <c r="E5" s="121" t="s">
        <v>238</v>
      </c>
      <c r="F5" s="125">
        <v>1500000</v>
      </c>
      <c r="G5" s="122" t="s">
        <v>150</v>
      </c>
      <c r="H5" s="122" t="s">
        <v>158</v>
      </c>
      <c r="I5" s="122" t="s">
        <v>237</v>
      </c>
      <c r="J5" s="159" t="s">
        <v>666</v>
      </c>
      <c r="K5" s="158" t="s">
        <v>743</v>
      </c>
      <c r="L5" s="159" t="s">
        <v>641</v>
      </c>
      <c r="M5" s="222">
        <v>0</v>
      </c>
      <c r="N5" s="122" t="s">
        <v>181</v>
      </c>
    </row>
    <row r="6" spans="1:15" s="94" customFormat="1" ht="101.25" customHeight="1" thickTop="1" thickBot="1" x14ac:dyDescent="0.3">
      <c r="A6" s="127">
        <v>62</v>
      </c>
      <c r="B6" s="122" t="s">
        <v>26</v>
      </c>
      <c r="C6" s="122" t="s">
        <v>234</v>
      </c>
      <c r="D6" s="122" t="s">
        <v>525</v>
      </c>
      <c r="E6" s="121" t="s">
        <v>239</v>
      </c>
      <c r="F6" s="125">
        <v>2000000</v>
      </c>
      <c r="G6" s="122" t="s">
        <v>150</v>
      </c>
      <c r="H6" s="122" t="s">
        <v>158</v>
      </c>
      <c r="I6" s="122" t="s">
        <v>524</v>
      </c>
      <c r="J6" s="159" t="s">
        <v>667</v>
      </c>
      <c r="K6" s="158" t="s">
        <v>743</v>
      </c>
      <c r="L6" s="159" t="s">
        <v>642</v>
      </c>
      <c r="M6" s="222">
        <v>0</v>
      </c>
      <c r="N6" s="122" t="s">
        <v>181</v>
      </c>
      <c r="O6" s="13"/>
    </row>
    <row r="7" spans="1:15" s="94" customFormat="1" ht="66.75" customHeight="1" thickTop="1" thickBot="1" x14ac:dyDescent="0.3">
      <c r="A7" s="127">
        <v>29</v>
      </c>
      <c r="B7" s="122" t="s">
        <v>26</v>
      </c>
      <c r="C7" s="122" t="s">
        <v>240</v>
      </c>
      <c r="D7" s="122" t="s">
        <v>536</v>
      </c>
      <c r="E7" s="121" t="s">
        <v>344</v>
      </c>
      <c r="F7" s="125">
        <v>1500000</v>
      </c>
      <c r="G7" s="122" t="s">
        <v>150</v>
      </c>
      <c r="H7" s="122" t="s">
        <v>535</v>
      </c>
      <c r="I7" s="122" t="s">
        <v>534</v>
      </c>
      <c r="J7" s="159" t="s">
        <v>668</v>
      </c>
      <c r="K7" s="158" t="s">
        <v>743</v>
      </c>
      <c r="L7" s="159" t="s">
        <v>643</v>
      </c>
      <c r="M7" s="222">
        <v>0</v>
      </c>
      <c r="N7" s="122" t="s">
        <v>181</v>
      </c>
      <c r="O7" s="13"/>
    </row>
    <row r="8" spans="1:15" s="94" customFormat="1" ht="90.75" thickTop="1" thickBot="1" x14ac:dyDescent="0.3">
      <c r="A8" s="127">
        <v>29</v>
      </c>
      <c r="B8" s="122" t="s">
        <v>26</v>
      </c>
      <c r="C8" s="122" t="s">
        <v>240</v>
      </c>
      <c r="D8" s="122" t="s">
        <v>537</v>
      </c>
      <c r="E8" s="121" t="s">
        <v>241</v>
      </c>
      <c r="F8" s="125">
        <v>300000</v>
      </c>
      <c r="G8" s="122" t="s">
        <v>150</v>
      </c>
      <c r="H8" s="122" t="s">
        <v>535</v>
      </c>
      <c r="I8" s="122" t="s">
        <v>534</v>
      </c>
      <c r="J8" s="159" t="s">
        <v>669</v>
      </c>
      <c r="K8" s="158" t="s">
        <v>743</v>
      </c>
      <c r="L8" s="159" t="s">
        <v>644</v>
      </c>
      <c r="M8" s="222">
        <v>0</v>
      </c>
      <c r="N8" s="122" t="s">
        <v>181</v>
      </c>
      <c r="O8" s="13"/>
    </row>
    <row r="9" spans="1:15" s="94" customFormat="1" ht="63" customHeight="1" thickTop="1" thickBot="1" x14ac:dyDescent="0.3">
      <c r="A9" s="127">
        <v>29</v>
      </c>
      <c r="B9" s="122" t="s">
        <v>26</v>
      </c>
      <c r="C9" s="122" t="s">
        <v>240</v>
      </c>
      <c r="D9" s="122" t="s">
        <v>527</v>
      </c>
      <c r="E9" s="121" t="s">
        <v>242</v>
      </c>
      <c r="F9" s="125">
        <v>35000</v>
      </c>
      <c r="G9" s="122" t="s">
        <v>150</v>
      </c>
      <c r="H9" s="122" t="s">
        <v>173</v>
      </c>
      <c r="I9" s="122" t="s">
        <v>526</v>
      </c>
      <c r="J9" s="159" t="s">
        <v>670</v>
      </c>
      <c r="K9" s="158" t="s">
        <v>743</v>
      </c>
      <c r="L9" s="159" t="s">
        <v>643</v>
      </c>
      <c r="M9" s="222">
        <v>0</v>
      </c>
      <c r="N9" s="122" t="s">
        <v>181</v>
      </c>
      <c r="O9" s="13"/>
    </row>
    <row r="10" spans="1:15" s="94" customFormat="1" ht="78" thickTop="1" thickBot="1" x14ac:dyDescent="0.3">
      <c r="A10" s="127">
        <v>29</v>
      </c>
      <c r="B10" s="122" t="s">
        <v>26</v>
      </c>
      <c r="C10" s="122" t="s">
        <v>240</v>
      </c>
      <c r="D10" s="122" t="s">
        <v>539</v>
      </c>
      <c r="E10" s="121" t="s">
        <v>347</v>
      </c>
      <c r="F10" s="125">
        <v>1200000</v>
      </c>
      <c r="G10" s="122" t="s">
        <v>150</v>
      </c>
      <c r="H10" s="122" t="s">
        <v>158</v>
      </c>
      <c r="I10" s="122" t="s">
        <v>538</v>
      </c>
      <c r="J10" s="159" t="s">
        <v>671</v>
      </c>
      <c r="K10" s="158" t="s">
        <v>743</v>
      </c>
      <c r="L10" s="159" t="s">
        <v>641</v>
      </c>
      <c r="M10" s="222">
        <v>0</v>
      </c>
      <c r="N10" s="122" t="s">
        <v>181</v>
      </c>
      <c r="O10" s="13"/>
    </row>
    <row r="11" spans="1:15" s="94" customFormat="1" ht="84.75" customHeight="1" thickTop="1" thickBot="1" x14ac:dyDescent="0.3">
      <c r="A11" s="127">
        <v>29</v>
      </c>
      <c r="B11" s="122" t="s">
        <v>26</v>
      </c>
      <c r="C11" s="122" t="s">
        <v>240</v>
      </c>
      <c r="D11" s="122" t="s">
        <v>528</v>
      </c>
      <c r="E11" s="121" t="s">
        <v>243</v>
      </c>
      <c r="F11" s="125">
        <v>6500000</v>
      </c>
      <c r="G11" s="122" t="s">
        <v>150</v>
      </c>
      <c r="H11" s="122" t="s">
        <v>158</v>
      </c>
      <c r="I11" s="122" t="s">
        <v>541</v>
      </c>
      <c r="J11" s="159" t="s">
        <v>666</v>
      </c>
      <c r="K11" s="158" t="s">
        <v>743</v>
      </c>
      <c r="L11" s="159" t="s">
        <v>641</v>
      </c>
      <c r="M11" s="222" t="s">
        <v>851</v>
      </c>
      <c r="N11" s="122" t="s">
        <v>181</v>
      </c>
      <c r="O11" s="13"/>
    </row>
    <row r="12" spans="1:15" s="94" customFormat="1" ht="100.5" customHeight="1" thickTop="1" thickBot="1" x14ac:dyDescent="0.3">
      <c r="A12" s="127">
        <v>29</v>
      </c>
      <c r="B12" s="122" t="s">
        <v>26</v>
      </c>
      <c r="C12" s="122" t="s">
        <v>240</v>
      </c>
      <c r="D12" s="122" t="s">
        <v>529</v>
      </c>
      <c r="E12" s="121" t="s">
        <v>245</v>
      </c>
      <c r="F12" s="125">
        <v>6500000</v>
      </c>
      <c r="G12" s="122" t="s">
        <v>150</v>
      </c>
      <c r="H12" s="122" t="s">
        <v>158</v>
      </c>
      <c r="I12" s="122" t="s">
        <v>541</v>
      </c>
      <c r="J12" s="159" t="s">
        <v>666</v>
      </c>
      <c r="K12" s="158" t="s">
        <v>743</v>
      </c>
      <c r="L12" s="159" t="s">
        <v>641</v>
      </c>
      <c r="M12" s="222">
        <v>0</v>
      </c>
      <c r="N12" s="122" t="s">
        <v>181</v>
      </c>
      <c r="O12" s="13"/>
    </row>
    <row r="13" spans="1:15" s="94" customFormat="1" ht="78" thickTop="1" thickBot="1" x14ac:dyDescent="0.3">
      <c r="A13" s="127">
        <v>29</v>
      </c>
      <c r="B13" s="122" t="s">
        <v>26</v>
      </c>
      <c r="C13" s="122" t="s">
        <v>240</v>
      </c>
      <c r="D13" s="122" t="s">
        <v>246</v>
      </c>
      <c r="E13" s="121" t="s">
        <v>247</v>
      </c>
      <c r="F13" s="125">
        <v>3200000</v>
      </c>
      <c r="G13" s="122" t="s">
        <v>150</v>
      </c>
      <c r="H13" s="122" t="s">
        <v>158</v>
      </c>
      <c r="I13" s="122" t="s">
        <v>541</v>
      </c>
      <c r="J13" s="159" t="s">
        <v>666</v>
      </c>
      <c r="K13" s="158" t="s">
        <v>743</v>
      </c>
      <c r="L13" s="159" t="s">
        <v>641</v>
      </c>
      <c r="M13" s="222" t="s">
        <v>850</v>
      </c>
      <c r="N13" s="122" t="s">
        <v>181</v>
      </c>
      <c r="O13" s="13"/>
    </row>
    <row r="14" spans="1:15" s="94" customFormat="1" ht="94.5" customHeight="1" thickTop="1" thickBot="1" x14ac:dyDescent="0.3">
      <c r="A14" s="127">
        <v>29</v>
      </c>
      <c r="B14" s="122" t="s">
        <v>26</v>
      </c>
      <c r="C14" s="122" t="s">
        <v>240</v>
      </c>
      <c r="D14" s="122" t="s">
        <v>530</v>
      </c>
      <c r="E14" s="121" t="s">
        <v>248</v>
      </c>
      <c r="F14" s="125">
        <v>6550000</v>
      </c>
      <c r="G14" s="122" t="s">
        <v>150</v>
      </c>
      <c r="H14" s="122" t="s">
        <v>158</v>
      </c>
      <c r="I14" s="122" t="s">
        <v>541</v>
      </c>
      <c r="J14" s="159" t="s">
        <v>666</v>
      </c>
      <c r="K14" s="158" t="s">
        <v>743</v>
      </c>
      <c r="L14" s="159" t="s">
        <v>641</v>
      </c>
      <c r="M14" s="222" t="s">
        <v>849</v>
      </c>
      <c r="N14" s="122" t="s">
        <v>181</v>
      </c>
      <c r="O14" s="13"/>
    </row>
    <row r="15" spans="1:15" s="94" customFormat="1" ht="57.75" customHeight="1" thickTop="1" thickBot="1" x14ac:dyDescent="0.3">
      <c r="A15" s="127">
        <v>29</v>
      </c>
      <c r="B15" s="122" t="s">
        <v>26</v>
      </c>
      <c r="C15" s="122" t="s">
        <v>240</v>
      </c>
      <c r="D15" s="122" t="s">
        <v>540</v>
      </c>
      <c r="E15" s="121" t="s">
        <v>249</v>
      </c>
      <c r="F15" s="125">
        <f>680000+700000</f>
        <v>1380000</v>
      </c>
      <c r="G15" s="122" t="s">
        <v>150</v>
      </c>
      <c r="H15" s="122" t="s">
        <v>535</v>
      </c>
      <c r="I15" s="122" t="s">
        <v>534</v>
      </c>
      <c r="J15" s="159" t="s">
        <v>672</v>
      </c>
      <c r="K15" s="158" t="s">
        <v>743</v>
      </c>
      <c r="L15" s="159" t="s">
        <v>644</v>
      </c>
      <c r="M15" s="222">
        <v>0</v>
      </c>
      <c r="N15" s="122" t="s">
        <v>181</v>
      </c>
      <c r="O15" s="13"/>
    </row>
    <row r="16" spans="1:15" s="94" customFormat="1" ht="69.75" customHeight="1" thickTop="1" thickBot="1" x14ac:dyDescent="0.3">
      <c r="A16" s="127">
        <v>29</v>
      </c>
      <c r="B16" s="122" t="s">
        <v>26</v>
      </c>
      <c r="C16" s="122" t="s">
        <v>240</v>
      </c>
      <c r="D16" s="122" t="s">
        <v>250</v>
      </c>
      <c r="E16" s="121" t="s">
        <v>251</v>
      </c>
      <c r="F16" s="125">
        <v>5500000</v>
      </c>
      <c r="G16" s="122" t="s">
        <v>150</v>
      </c>
      <c r="H16" s="122" t="s">
        <v>158</v>
      </c>
      <c r="I16" s="122" t="s">
        <v>541</v>
      </c>
      <c r="J16" s="159" t="s">
        <v>666</v>
      </c>
      <c r="K16" s="158" t="s">
        <v>743</v>
      </c>
      <c r="L16" s="159" t="s">
        <v>641</v>
      </c>
      <c r="M16" s="222" t="s">
        <v>852</v>
      </c>
      <c r="N16" s="122" t="s">
        <v>181</v>
      </c>
      <c r="O16" s="13"/>
    </row>
    <row r="17" spans="1:15" s="94" customFormat="1" ht="72" customHeight="1" thickTop="1" thickBot="1" x14ac:dyDescent="0.3">
      <c r="A17" s="127">
        <v>29</v>
      </c>
      <c r="B17" s="122" t="s">
        <v>26</v>
      </c>
      <c r="C17" s="122" t="s">
        <v>240</v>
      </c>
      <c r="D17" s="122" t="s">
        <v>252</v>
      </c>
      <c r="E17" s="121" t="s">
        <v>253</v>
      </c>
      <c r="F17" s="125">
        <v>5500000</v>
      </c>
      <c r="G17" s="122" t="s">
        <v>150</v>
      </c>
      <c r="H17" s="122" t="s">
        <v>158</v>
      </c>
      <c r="I17" s="122" t="s">
        <v>541</v>
      </c>
      <c r="J17" s="159" t="s">
        <v>666</v>
      </c>
      <c r="K17" s="158" t="s">
        <v>743</v>
      </c>
      <c r="L17" s="159" t="s">
        <v>641</v>
      </c>
      <c r="M17" s="222">
        <v>0</v>
      </c>
      <c r="N17" s="122" t="s">
        <v>181</v>
      </c>
      <c r="O17" s="13"/>
    </row>
    <row r="18" spans="1:15" s="94" customFormat="1" ht="70.5" customHeight="1" thickTop="1" thickBot="1" x14ac:dyDescent="0.3">
      <c r="A18" s="127">
        <v>29</v>
      </c>
      <c r="B18" s="122" t="s">
        <v>26</v>
      </c>
      <c r="C18" s="122" t="s">
        <v>240</v>
      </c>
      <c r="D18" s="122" t="s">
        <v>531</v>
      </c>
      <c r="E18" s="121" t="s">
        <v>131</v>
      </c>
      <c r="F18" s="125">
        <v>28000</v>
      </c>
      <c r="G18" s="122" t="s">
        <v>150</v>
      </c>
      <c r="H18" s="122" t="s">
        <v>173</v>
      </c>
      <c r="I18" s="122" t="s">
        <v>526</v>
      </c>
      <c r="J18" s="159" t="s">
        <v>1</v>
      </c>
      <c r="K18" s="159" t="s">
        <v>1</v>
      </c>
      <c r="L18" s="159" t="s">
        <v>1</v>
      </c>
      <c r="M18" s="222">
        <v>0</v>
      </c>
      <c r="N18" s="122" t="s">
        <v>181</v>
      </c>
      <c r="O18" s="13"/>
    </row>
    <row r="19" spans="1:15" s="94" customFormat="1" ht="71.25" customHeight="1" thickTop="1" thickBot="1" x14ac:dyDescent="0.3">
      <c r="A19" s="127">
        <v>29</v>
      </c>
      <c r="B19" s="122" t="s">
        <v>26</v>
      </c>
      <c r="C19" s="122" t="s">
        <v>240</v>
      </c>
      <c r="D19" s="122" t="s">
        <v>532</v>
      </c>
      <c r="E19" s="121" t="s">
        <v>254</v>
      </c>
      <c r="F19" s="125">
        <v>3000000</v>
      </c>
      <c r="G19" s="122" t="s">
        <v>150</v>
      </c>
      <c r="H19" s="122" t="s">
        <v>158</v>
      </c>
      <c r="I19" s="122" t="s">
        <v>542</v>
      </c>
      <c r="J19" s="159" t="s">
        <v>666</v>
      </c>
      <c r="K19" s="158" t="s">
        <v>743</v>
      </c>
      <c r="L19" s="159" t="s">
        <v>641</v>
      </c>
      <c r="M19" s="222">
        <v>0</v>
      </c>
      <c r="N19" s="122" t="s">
        <v>181</v>
      </c>
      <c r="O19" s="13"/>
    </row>
    <row r="20" spans="1:15" s="94" customFormat="1" ht="87" customHeight="1" thickTop="1" thickBot="1" x14ac:dyDescent="0.3">
      <c r="A20" s="127">
        <v>29</v>
      </c>
      <c r="B20" s="122" t="s">
        <v>26</v>
      </c>
      <c r="C20" s="122" t="s">
        <v>240</v>
      </c>
      <c r="D20" s="122" t="s">
        <v>255</v>
      </c>
      <c r="E20" s="121" t="s">
        <v>256</v>
      </c>
      <c r="F20" s="125">
        <v>3100000</v>
      </c>
      <c r="G20" s="122" t="s">
        <v>150</v>
      </c>
      <c r="H20" s="122" t="s">
        <v>158</v>
      </c>
      <c r="I20" s="122" t="s">
        <v>541</v>
      </c>
      <c r="J20" s="159" t="s">
        <v>666</v>
      </c>
      <c r="K20" s="158" t="s">
        <v>743</v>
      </c>
      <c r="L20" s="159" t="s">
        <v>642</v>
      </c>
      <c r="M20" s="222">
        <v>0</v>
      </c>
      <c r="N20" s="122" t="s">
        <v>181</v>
      </c>
      <c r="O20" s="13"/>
    </row>
    <row r="21" spans="1:15" s="94" customFormat="1" ht="91.5" customHeight="1" thickTop="1" thickBot="1" x14ac:dyDescent="0.3">
      <c r="A21" s="127">
        <v>29</v>
      </c>
      <c r="B21" s="122" t="s">
        <v>26</v>
      </c>
      <c r="C21" s="122" t="s">
        <v>240</v>
      </c>
      <c r="D21" s="121" t="s">
        <v>591</v>
      </c>
      <c r="E21" s="121" t="s">
        <v>258</v>
      </c>
      <c r="F21" s="125">
        <v>450000</v>
      </c>
      <c r="G21" s="122" t="s">
        <v>150</v>
      </c>
      <c r="H21" s="122" t="s">
        <v>149</v>
      </c>
      <c r="I21" s="122" t="s">
        <v>543</v>
      </c>
      <c r="J21" s="159" t="s">
        <v>673</v>
      </c>
      <c r="K21" s="158" t="s">
        <v>743</v>
      </c>
      <c r="L21" s="159" t="s">
        <v>645</v>
      </c>
      <c r="M21" s="222">
        <v>0</v>
      </c>
      <c r="N21" s="122" t="s">
        <v>181</v>
      </c>
      <c r="O21" s="13"/>
    </row>
    <row r="22" spans="1:15" s="94" customFormat="1" ht="81" customHeight="1" thickTop="1" thickBot="1" x14ac:dyDescent="0.3">
      <c r="A22" s="127">
        <v>29</v>
      </c>
      <c r="B22" s="122" t="s">
        <v>26</v>
      </c>
      <c r="C22" s="122" t="s">
        <v>240</v>
      </c>
      <c r="D22" s="121" t="s">
        <v>592</v>
      </c>
      <c r="E22" s="121" t="s">
        <v>410</v>
      </c>
      <c r="F22" s="125">
        <v>450000</v>
      </c>
      <c r="G22" s="122" t="s">
        <v>150</v>
      </c>
      <c r="H22" s="122" t="s">
        <v>149</v>
      </c>
      <c r="I22" s="122" t="s">
        <v>543</v>
      </c>
      <c r="J22" s="159" t="s">
        <v>673</v>
      </c>
      <c r="K22" s="158" t="s">
        <v>743</v>
      </c>
      <c r="L22" s="159" t="s">
        <v>645</v>
      </c>
      <c r="M22" s="222">
        <v>0</v>
      </c>
      <c r="N22" s="122" t="s">
        <v>181</v>
      </c>
      <c r="O22" s="13"/>
    </row>
    <row r="23" spans="1:15" s="94" customFormat="1" ht="81.75" customHeight="1" thickTop="1" thickBot="1" x14ac:dyDescent="0.3">
      <c r="A23" s="127">
        <v>29</v>
      </c>
      <c r="B23" s="122" t="s">
        <v>26</v>
      </c>
      <c r="C23" s="122" t="s">
        <v>240</v>
      </c>
      <c r="D23" s="121" t="s">
        <v>593</v>
      </c>
      <c r="E23" s="121" t="s">
        <v>259</v>
      </c>
      <c r="F23" s="125">
        <v>450000</v>
      </c>
      <c r="G23" s="122" t="s">
        <v>150</v>
      </c>
      <c r="H23" s="122" t="s">
        <v>149</v>
      </c>
      <c r="I23" s="122" t="s">
        <v>543</v>
      </c>
      <c r="J23" s="159" t="s">
        <v>673</v>
      </c>
      <c r="K23" s="158" t="s">
        <v>743</v>
      </c>
      <c r="L23" s="159" t="s">
        <v>645</v>
      </c>
      <c r="M23" s="222">
        <v>0</v>
      </c>
      <c r="N23" s="122" t="s">
        <v>181</v>
      </c>
      <c r="O23" s="13"/>
    </row>
    <row r="24" spans="1:15" s="94" customFormat="1" ht="81.75" customHeight="1" thickTop="1" thickBot="1" x14ac:dyDescent="0.3">
      <c r="A24" s="127">
        <v>29</v>
      </c>
      <c r="B24" s="122" t="s">
        <v>26</v>
      </c>
      <c r="C24" s="122" t="s">
        <v>240</v>
      </c>
      <c r="D24" s="121" t="s">
        <v>594</v>
      </c>
      <c r="E24" s="121" t="s">
        <v>260</v>
      </c>
      <c r="F24" s="125">
        <v>450000</v>
      </c>
      <c r="G24" s="122" t="s">
        <v>150</v>
      </c>
      <c r="H24" s="122" t="s">
        <v>149</v>
      </c>
      <c r="I24" s="122" t="s">
        <v>543</v>
      </c>
      <c r="J24" s="159" t="s">
        <v>673</v>
      </c>
      <c r="K24" s="158" t="s">
        <v>743</v>
      </c>
      <c r="L24" s="159" t="s">
        <v>645</v>
      </c>
      <c r="M24" s="222">
        <v>0</v>
      </c>
      <c r="N24" s="122" t="s">
        <v>181</v>
      </c>
      <c r="O24" s="13"/>
    </row>
    <row r="25" spans="1:15" s="94" customFormat="1" ht="83.25" customHeight="1" thickTop="1" thickBot="1" x14ac:dyDescent="0.3">
      <c r="A25" s="127">
        <v>29</v>
      </c>
      <c r="B25" s="122" t="s">
        <v>26</v>
      </c>
      <c r="C25" s="122" t="s">
        <v>240</v>
      </c>
      <c r="D25" s="121" t="s">
        <v>595</v>
      </c>
      <c r="E25" s="121" t="s">
        <v>345</v>
      </c>
      <c r="F25" s="125">
        <v>7000000</v>
      </c>
      <c r="G25" s="122" t="s">
        <v>150</v>
      </c>
      <c r="H25" s="122" t="s">
        <v>149</v>
      </c>
      <c r="I25" s="122" t="s">
        <v>544</v>
      </c>
      <c r="J25" s="159" t="s">
        <v>673</v>
      </c>
      <c r="K25" s="158" t="s">
        <v>743</v>
      </c>
      <c r="L25" s="159" t="s">
        <v>645</v>
      </c>
      <c r="M25" s="222">
        <v>0</v>
      </c>
      <c r="N25" s="122" t="s">
        <v>181</v>
      </c>
      <c r="O25" s="13"/>
    </row>
    <row r="26" spans="1:15" s="94" customFormat="1" ht="83.25" customHeight="1" thickTop="1" thickBot="1" x14ac:dyDescent="0.3">
      <c r="A26" s="127">
        <v>29</v>
      </c>
      <c r="B26" s="122" t="s">
        <v>26</v>
      </c>
      <c r="C26" s="122" t="s">
        <v>240</v>
      </c>
      <c r="D26" s="121" t="s">
        <v>596</v>
      </c>
      <c r="E26" s="121" t="s">
        <v>394</v>
      </c>
      <c r="F26" s="125">
        <v>220000</v>
      </c>
      <c r="G26" s="122" t="s">
        <v>150</v>
      </c>
      <c r="H26" s="122" t="s">
        <v>149</v>
      </c>
      <c r="I26" s="122" t="s">
        <v>543</v>
      </c>
      <c r="J26" s="159" t="s">
        <v>673</v>
      </c>
      <c r="K26" s="158" t="s">
        <v>743</v>
      </c>
      <c r="L26" s="159" t="s">
        <v>642</v>
      </c>
      <c r="M26" s="222">
        <v>0</v>
      </c>
      <c r="N26" s="122" t="s">
        <v>181</v>
      </c>
      <c r="O26" s="13"/>
    </row>
    <row r="27" spans="1:15" s="94" customFormat="1" ht="84.75" customHeight="1" thickTop="1" thickBot="1" x14ac:dyDescent="0.3">
      <c r="A27" s="127">
        <v>29</v>
      </c>
      <c r="B27" s="122" t="s">
        <v>26</v>
      </c>
      <c r="C27" s="122" t="s">
        <v>240</v>
      </c>
      <c r="D27" s="121" t="s">
        <v>597</v>
      </c>
      <c r="E27" s="121" t="s">
        <v>411</v>
      </c>
      <c r="F27" s="125">
        <v>220000</v>
      </c>
      <c r="G27" s="122" t="s">
        <v>150</v>
      </c>
      <c r="H27" s="122" t="s">
        <v>149</v>
      </c>
      <c r="I27" s="122" t="s">
        <v>543</v>
      </c>
      <c r="J27" s="159" t="s">
        <v>673</v>
      </c>
      <c r="K27" s="158" t="s">
        <v>743</v>
      </c>
      <c r="L27" s="159" t="s">
        <v>642</v>
      </c>
      <c r="M27" s="222">
        <v>0</v>
      </c>
      <c r="N27" s="122" t="s">
        <v>181</v>
      </c>
      <c r="O27" s="13"/>
    </row>
    <row r="28" spans="1:15" s="94" customFormat="1" ht="83.25" customHeight="1" thickTop="1" thickBot="1" x14ac:dyDescent="0.3">
      <c r="A28" s="127">
        <v>29</v>
      </c>
      <c r="B28" s="122" t="s">
        <v>26</v>
      </c>
      <c r="C28" s="122" t="s">
        <v>240</v>
      </c>
      <c r="D28" s="121" t="s">
        <v>598</v>
      </c>
      <c r="E28" s="121" t="s">
        <v>132</v>
      </c>
      <c r="F28" s="125">
        <v>220000</v>
      </c>
      <c r="G28" s="122" t="s">
        <v>150</v>
      </c>
      <c r="H28" s="122" t="s">
        <v>149</v>
      </c>
      <c r="I28" s="122" t="s">
        <v>543</v>
      </c>
      <c r="J28" s="159" t="s">
        <v>673</v>
      </c>
      <c r="K28" s="158" t="s">
        <v>743</v>
      </c>
      <c r="L28" s="159" t="s">
        <v>642</v>
      </c>
      <c r="M28" s="222">
        <v>0</v>
      </c>
      <c r="N28" s="122" t="s">
        <v>181</v>
      </c>
      <c r="O28" s="13"/>
    </row>
    <row r="29" spans="1:15" s="94" customFormat="1" ht="87.75" customHeight="1" thickTop="1" thickBot="1" x14ac:dyDescent="0.3">
      <c r="A29" s="127">
        <v>29</v>
      </c>
      <c r="B29" s="122" t="s">
        <v>26</v>
      </c>
      <c r="C29" s="122" t="s">
        <v>263</v>
      </c>
      <c r="D29" s="122" t="s">
        <v>264</v>
      </c>
      <c r="E29" s="121" t="s">
        <v>265</v>
      </c>
      <c r="F29" s="125">
        <v>8965000</v>
      </c>
      <c r="G29" s="122" t="s">
        <v>150</v>
      </c>
      <c r="H29" s="122" t="s">
        <v>158</v>
      </c>
      <c r="I29" s="122" t="s">
        <v>543</v>
      </c>
      <c r="J29" s="159" t="s">
        <v>673</v>
      </c>
      <c r="K29" s="158" t="s">
        <v>743</v>
      </c>
      <c r="L29" s="159" t="s">
        <v>641</v>
      </c>
      <c r="M29" s="222" t="s">
        <v>853</v>
      </c>
      <c r="N29" s="122" t="s">
        <v>181</v>
      </c>
      <c r="O29" s="13"/>
    </row>
    <row r="30" spans="1:15" s="94" customFormat="1" ht="86.25" customHeight="1" thickTop="1" thickBot="1" x14ac:dyDescent="0.3">
      <c r="A30" s="127">
        <v>29</v>
      </c>
      <c r="B30" s="122" t="s">
        <v>26</v>
      </c>
      <c r="C30" s="122" t="s">
        <v>263</v>
      </c>
      <c r="D30" s="122" t="s">
        <v>266</v>
      </c>
      <c r="E30" s="121" t="s">
        <v>267</v>
      </c>
      <c r="F30" s="125">
        <v>5400000</v>
      </c>
      <c r="G30" s="122" t="s">
        <v>150</v>
      </c>
      <c r="H30" s="122" t="s">
        <v>357</v>
      </c>
      <c r="I30" s="122" t="s">
        <v>541</v>
      </c>
      <c r="J30" s="159" t="s">
        <v>673</v>
      </c>
      <c r="K30" s="158" t="s">
        <v>743</v>
      </c>
      <c r="L30" s="159" t="s">
        <v>641</v>
      </c>
      <c r="M30" s="222">
        <v>0</v>
      </c>
      <c r="N30" s="122" t="s">
        <v>181</v>
      </c>
      <c r="O30" s="13"/>
    </row>
    <row r="31" spans="1:15" s="94" customFormat="1" ht="82.5" customHeight="1" thickTop="1" thickBot="1" x14ac:dyDescent="0.3">
      <c r="A31" s="127">
        <v>29</v>
      </c>
      <c r="B31" s="122" t="s">
        <v>26</v>
      </c>
      <c r="C31" s="122" t="s">
        <v>263</v>
      </c>
      <c r="D31" s="122" t="s">
        <v>599</v>
      </c>
      <c r="E31" s="121" t="s">
        <v>346</v>
      </c>
      <c r="F31" s="125">
        <v>1500000</v>
      </c>
      <c r="G31" s="122" t="s">
        <v>150</v>
      </c>
      <c r="H31" s="122" t="s">
        <v>173</v>
      </c>
      <c r="I31" s="122" t="s">
        <v>375</v>
      </c>
      <c r="J31" s="122" t="s">
        <v>847</v>
      </c>
      <c r="K31" s="158" t="s">
        <v>743</v>
      </c>
      <c r="L31" s="159" t="s">
        <v>848</v>
      </c>
      <c r="M31" s="222" t="s">
        <v>854</v>
      </c>
      <c r="N31" s="122" t="s">
        <v>181</v>
      </c>
      <c r="O31" s="13"/>
    </row>
    <row r="32" spans="1:15" s="94" customFormat="1" ht="69.75" customHeight="1" thickTop="1" thickBot="1" x14ac:dyDescent="0.3">
      <c r="A32" s="127">
        <v>29</v>
      </c>
      <c r="B32" s="122" t="s">
        <v>26</v>
      </c>
      <c r="C32" s="122" t="s">
        <v>263</v>
      </c>
      <c r="D32" s="122" t="s">
        <v>268</v>
      </c>
      <c r="E32" s="121" t="s">
        <v>269</v>
      </c>
      <c r="F32" s="125">
        <v>3600000</v>
      </c>
      <c r="G32" s="122" t="s">
        <v>150</v>
      </c>
      <c r="H32" s="122" t="s">
        <v>158</v>
      </c>
      <c r="I32" s="122" t="s">
        <v>533</v>
      </c>
      <c r="J32" s="159" t="s">
        <v>674</v>
      </c>
      <c r="K32" s="158" t="s">
        <v>743</v>
      </c>
      <c r="L32" s="159" t="s">
        <v>641</v>
      </c>
      <c r="M32" s="222">
        <v>0</v>
      </c>
      <c r="N32" s="122" t="s">
        <v>181</v>
      </c>
      <c r="O32" s="13"/>
    </row>
    <row r="33" spans="1:15" s="94" customFormat="1" ht="65.25" thickTop="1" thickBot="1" x14ac:dyDescent="0.3">
      <c r="A33" s="127">
        <v>29</v>
      </c>
      <c r="B33" s="122" t="s">
        <v>26</v>
      </c>
      <c r="C33" s="122" t="s">
        <v>263</v>
      </c>
      <c r="D33" s="122" t="s">
        <v>270</v>
      </c>
      <c r="E33" s="121" t="s">
        <v>271</v>
      </c>
      <c r="F33" s="125">
        <v>5950000</v>
      </c>
      <c r="G33" s="122" t="s">
        <v>150</v>
      </c>
      <c r="H33" s="122" t="s">
        <v>158</v>
      </c>
      <c r="I33" s="122" t="s">
        <v>533</v>
      </c>
      <c r="J33" s="159" t="s">
        <v>674</v>
      </c>
      <c r="K33" s="158" t="s">
        <v>743</v>
      </c>
      <c r="L33" s="159" t="s">
        <v>641</v>
      </c>
      <c r="M33" s="222">
        <v>0</v>
      </c>
      <c r="N33" s="122" t="s">
        <v>181</v>
      </c>
      <c r="O33" s="13"/>
    </row>
    <row r="34" spans="1:15" s="94" customFormat="1" ht="78" thickTop="1" thickBot="1" x14ac:dyDescent="0.3">
      <c r="A34" s="127">
        <v>29</v>
      </c>
      <c r="B34" s="122" t="s">
        <v>26</v>
      </c>
      <c r="C34" s="122" t="s">
        <v>263</v>
      </c>
      <c r="D34" s="122" t="s">
        <v>272</v>
      </c>
      <c r="E34" s="121" t="s">
        <v>273</v>
      </c>
      <c r="F34" s="125">
        <v>5950000</v>
      </c>
      <c r="G34" s="122" t="s">
        <v>150</v>
      </c>
      <c r="H34" s="122" t="s">
        <v>158</v>
      </c>
      <c r="I34" s="122" t="s">
        <v>533</v>
      </c>
      <c r="J34" s="159" t="s">
        <v>674</v>
      </c>
      <c r="K34" s="158" t="s">
        <v>743</v>
      </c>
      <c r="L34" s="159" t="s">
        <v>641</v>
      </c>
      <c r="M34" s="222">
        <v>0</v>
      </c>
      <c r="N34" s="122" t="s">
        <v>181</v>
      </c>
      <c r="O34" s="13"/>
    </row>
    <row r="35" spans="1:15" s="94" customFormat="1" ht="78" thickTop="1" thickBot="1" x14ac:dyDescent="0.3">
      <c r="A35" s="127">
        <v>29</v>
      </c>
      <c r="B35" s="122" t="s">
        <v>26</v>
      </c>
      <c r="C35" s="122" t="s">
        <v>263</v>
      </c>
      <c r="D35" s="122" t="s">
        <v>371</v>
      </c>
      <c r="E35" s="121" t="s">
        <v>373</v>
      </c>
      <c r="F35" s="125">
        <v>2000000</v>
      </c>
      <c r="G35" s="122" t="s">
        <v>150</v>
      </c>
      <c r="H35" s="122" t="s">
        <v>173</v>
      </c>
      <c r="I35" s="122" t="s">
        <v>375</v>
      </c>
      <c r="J35" s="122" t="s">
        <v>847</v>
      </c>
      <c r="K35" s="158" t="s">
        <v>743</v>
      </c>
      <c r="L35" s="159" t="s">
        <v>848</v>
      </c>
      <c r="M35" s="222">
        <v>1839596</v>
      </c>
      <c r="N35" s="122" t="s">
        <v>181</v>
      </c>
      <c r="O35" s="13"/>
    </row>
    <row r="36" spans="1:15" s="94" customFormat="1" ht="78" thickTop="1" thickBot="1" x14ac:dyDescent="0.3">
      <c r="A36" s="127">
        <v>29</v>
      </c>
      <c r="B36" s="122" t="s">
        <v>26</v>
      </c>
      <c r="C36" s="122" t="s">
        <v>263</v>
      </c>
      <c r="D36" s="122" t="s">
        <v>372</v>
      </c>
      <c r="E36" s="121" t="s">
        <v>374</v>
      </c>
      <c r="F36" s="125">
        <v>1000000</v>
      </c>
      <c r="G36" s="122" t="s">
        <v>150</v>
      </c>
      <c r="H36" s="122" t="s">
        <v>173</v>
      </c>
      <c r="I36" s="122" t="s">
        <v>375</v>
      </c>
      <c r="J36" s="159" t="s">
        <v>847</v>
      </c>
      <c r="K36" s="158" t="s">
        <v>743</v>
      </c>
      <c r="L36" s="159" t="s">
        <v>646</v>
      </c>
      <c r="M36" s="222">
        <v>2616777</v>
      </c>
      <c r="N36" s="122" t="s">
        <v>181</v>
      </c>
      <c r="O36" s="13"/>
    </row>
    <row r="37" spans="1:15" s="94" customFormat="1" ht="65.25" thickTop="1" thickBot="1" x14ac:dyDescent="0.3">
      <c r="A37" s="127">
        <v>29</v>
      </c>
      <c r="B37" s="122" t="s">
        <v>26</v>
      </c>
      <c r="C37" s="122" t="s">
        <v>263</v>
      </c>
      <c r="D37" s="122" t="s">
        <v>274</v>
      </c>
      <c r="E37" s="121" t="s">
        <v>275</v>
      </c>
      <c r="F37" s="125">
        <v>5600000</v>
      </c>
      <c r="G37" s="122" t="s">
        <v>150</v>
      </c>
      <c r="H37" s="122" t="s">
        <v>158</v>
      </c>
      <c r="I37" s="122" t="s">
        <v>533</v>
      </c>
      <c r="J37" s="159" t="s">
        <v>674</v>
      </c>
      <c r="K37" s="158" t="s">
        <v>743</v>
      </c>
      <c r="L37" s="159" t="s">
        <v>641</v>
      </c>
      <c r="M37" s="222">
        <v>0</v>
      </c>
      <c r="N37" s="122" t="s">
        <v>181</v>
      </c>
      <c r="O37" s="13"/>
    </row>
    <row r="38" spans="1:15" s="94" customFormat="1" ht="80.25" customHeight="1" thickTop="1" thickBot="1" x14ac:dyDescent="0.3">
      <c r="A38" s="127">
        <v>29</v>
      </c>
      <c r="B38" s="122" t="s">
        <v>26</v>
      </c>
      <c r="C38" s="122" t="s">
        <v>263</v>
      </c>
      <c r="D38" s="121" t="s">
        <v>600</v>
      </c>
      <c r="E38" s="121" t="s">
        <v>282</v>
      </c>
      <c r="F38" s="125">
        <v>400000</v>
      </c>
      <c r="G38" s="122" t="s">
        <v>150</v>
      </c>
      <c r="H38" s="122" t="s">
        <v>149</v>
      </c>
      <c r="I38" s="122" t="s">
        <v>543</v>
      </c>
      <c r="J38" s="159" t="s">
        <v>675</v>
      </c>
      <c r="K38" s="158" t="s">
        <v>743</v>
      </c>
      <c r="L38" s="159" t="s">
        <v>645</v>
      </c>
      <c r="M38" s="222">
        <v>0</v>
      </c>
      <c r="N38" s="122" t="s">
        <v>181</v>
      </c>
      <c r="O38" s="13"/>
    </row>
    <row r="39" spans="1:15" s="94" customFormat="1" ht="78" thickTop="1" thickBot="1" x14ac:dyDescent="0.3">
      <c r="A39" s="127">
        <v>29</v>
      </c>
      <c r="B39" s="122" t="s">
        <v>26</v>
      </c>
      <c r="C39" s="122" t="s">
        <v>263</v>
      </c>
      <c r="D39" s="121" t="s">
        <v>601</v>
      </c>
      <c r="E39" s="121" t="s">
        <v>283</v>
      </c>
      <c r="F39" s="125">
        <v>400000</v>
      </c>
      <c r="G39" s="122" t="s">
        <v>150</v>
      </c>
      <c r="H39" s="122" t="s">
        <v>149</v>
      </c>
      <c r="I39" s="122" t="s">
        <v>543</v>
      </c>
      <c r="J39" s="159" t="s">
        <v>675</v>
      </c>
      <c r="K39" s="158" t="s">
        <v>743</v>
      </c>
      <c r="L39" s="159" t="s">
        <v>645</v>
      </c>
      <c r="M39" s="222">
        <v>0</v>
      </c>
      <c r="N39" s="122" t="s">
        <v>181</v>
      </c>
      <c r="O39" s="13"/>
    </row>
    <row r="40" spans="1:15" s="94" customFormat="1" ht="81" customHeight="1" thickTop="1" thickBot="1" x14ac:dyDescent="0.3">
      <c r="A40" s="127">
        <v>29</v>
      </c>
      <c r="B40" s="122" t="s">
        <v>26</v>
      </c>
      <c r="C40" s="122" t="s">
        <v>263</v>
      </c>
      <c r="D40" s="121" t="s">
        <v>602</v>
      </c>
      <c r="E40" s="121" t="s">
        <v>284</v>
      </c>
      <c r="F40" s="125">
        <v>400000</v>
      </c>
      <c r="G40" s="122" t="s">
        <v>150</v>
      </c>
      <c r="H40" s="122" t="s">
        <v>149</v>
      </c>
      <c r="I40" s="122" t="s">
        <v>543</v>
      </c>
      <c r="J40" s="159" t="s">
        <v>675</v>
      </c>
      <c r="K40" s="158" t="s">
        <v>743</v>
      </c>
      <c r="L40" s="159" t="s">
        <v>645</v>
      </c>
      <c r="M40" s="222">
        <v>0</v>
      </c>
      <c r="N40" s="122" t="s">
        <v>181</v>
      </c>
      <c r="O40" s="13"/>
    </row>
    <row r="41" spans="1:15" s="94" customFormat="1" ht="84.75" customHeight="1" thickTop="1" thickBot="1" x14ac:dyDescent="0.3">
      <c r="A41" s="127">
        <v>29</v>
      </c>
      <c r="B41" s="122" t="s">
        <v>26</v>
      </c>
      <c r="C41" s="122" t="s">
        <v>263</v>
      </c>
      <c r="D41" s="121" t="s">
        <v>603</v>
      </c>
      <c r="E41" s="121" t="s">
        <v>285</v>
      </c>
      <c r="F41" s="125">
        <v>400000</v>
      </c>
      <c r="G41" s="122" t="s">
        <v>150</v>
      </c>
      <c r="H41" s="122" t="s">
        <v>149</v>
      </c>
      <c r="I41" s="122" t="s">
        <v>543</v>
      </c>
      <c r="J41" s="159" t="s">
        <v>675</v>
      </c>
      <c r="K41" s="158" t="s">
        <v>743</v>
      </c>
      <c r="L41" s="159" t="s">
        <v>645</v>
      </c>
      <c r="M41" s="222">
        <v>0</v>
      </c>
      <c r="N41" s="122" t="s">
        <v>181</v>
      </c>
      <c r="O41" s="13"/>
    </row>
    <row r="42" spans="1:15" s="94" customFormat="1" ht="88.5" customHeight="1" thickTop="1" thickBot="1" x14ac:dyDescent="0.3">
      <c r="A42" s="127">
        <v>29</v>
      </c>
      <c r="B42" s="122" t="s">
        <v>26</v>
      </c>
      <c r="C42" s="122" t="s">
        <v>263</v>
      </c>
      <c r="D42" s="121" t="s">
        <v>604</v>
      </c>
      <c r="E42" s="121" t="s">
        <v>286</v>
      </c>
      <c r="F42" s="125">
        <v>400000</v>
      </c>
      <c r="G42" s="122" t="s">
        <v>150</v>
      </c>
      <c r="H42" s="122" t="s">
        <v>149</v>
      </c>
      <c r="I42" s="122" t="s">
        <v>543</v>
      </c>
      <c r="J42" s="159" t="s">
        <v>675</v>
      </c>
      <c r="K42" s="158" t="s">
        <v>743</v>
      </c>
      <c r="L42" s="159" t="s">
        <v>645</v>
      </c>
      <c r="M42" s="222">
        <v>0</v>
      </c>
      <c r="N42" s="122" t="s">
        <v>181</v>
      </c>
      <c r="O42" s="13"/>
    </row>
    <row r="43" spans="1:15" s="94" customFormat="1" ht="81.75" customHeight="1" thickTop="1" thickBot="1" x14ac:dyDescent="0.3">
      <c r="A43" s="127">
        <v>29</v>
      </c>
      <c r="B43" s="122" t="s">
        <v>26</v>
      </c>
      <c r="C43" s="122" t="s">
        <v>263</v>
      </c>
      <c r="D43" s="121" t="s">
        <v>605</v>
      </c>
      <c r="E43" s="121" t="s">
        <v>287</v>
      </c>
      <c r="F43" s="125">
        <v>400000</v>
      </c>
      <c r="G43" s="122" t="s">
        <v>150</v>
      </c>
      <c r="H43" s="122" t="s">
        <v>149</v>
      </c>
      <c r="I43" s="122" t="s">
        <v>543</v>
      </c>
      <c r="J43" s="159" t="s">
        <v>675</v>
      </c>
      <c r="K43" s="158" t="s">
        <v>743</v>
      </c>
      <c r="L43" s="159" t="s">
        <v>645</v>
      </c>
      <c r="M43" s="222">
        <v>0</v>
      </c>
      <c r="N43" s="122" t="s">
        <v>181</v>
      </c>
      <c r="O43" s="13"/>
    </row>
    <row r="44" spans="1:15" s="94" customFormat="1" ht="81.75" customHeight="1" thickTop="1" thickBot="1" x14ac:dyDescent="0.3">
      <c r="A44" s="127">
        <v>29</v>
      </c>
      <c r="B44" s="122" t="s">
        <v>26</v>
      </c>
      <c r="C44" s="122" t="s">
        <v>263</v>
      </c>
      <c r="D44" s="121" t="s">
        <v>606</v>
      </c>
      <c r="E44" s="121" t="s">
        <v>288</v>
      </c>
      <c r="F44" s="125">
        <v>400000</v>
      </c>
      <c r="G44" s="122" t="s">
        <v>150</v>
      </c>
      <c r="H44" s="122" t="s">
        <v>149</v>
      </c>
      <c r="I44" s="122" t="s">
        <v>543</v>
      </c>
      <c r="J44" s="159" t="s">
        <v>675</v>
      </c>
      <c r="K44" s="158" t="s">
        <v>743</v>
      </c>
      <c r="L44" s="159" t="s">
        <v>645</v>
      </c>
      <c r="M44" s="222">
        <v>0</v>
      </c>
      <c r="N44" s="122" t="s">
        <v>181</v>
      </c>
      <c r="O44" s="13"/>
    </row>
    <row r="45" spans="1:15" s="94" customFormat="1" ht="78" thickTop="1" thickBot="1" x14ac:dyDescent="0.3">
      <c r="A45" s="127">
        <v>29</v>
      </c>
      <c r="B45" s="122" t="s">
        <v>26</v>
      </c>
      <c r="C45" s="122" t="s">
        <v>263</v>
      </c>
      <c r="D45" s="121" t="s">
        <v>608</v>
      </c>
      <c r="E45" s="121" t="s">
        <v>289</v>
      </c>
      <c r="F45" s="125">
        <v>400000</v>
      </c>
      <c r="G45" s="122" t="s">
        <v>150</v>
      </c>
      <c r="H45" s="122" t="s">
        <v>149</v>
      </c>
      <c r="I45" s="122" t="s">
        <v>543</v>
      </c>
      <c r="J45" s="159" t="s">
        <v>675</v>
      </c>
      <c r="K45" s="158" t="s">
        <v>743</v>
      </c>
      <c r="L45" s="159" t="s">
        <v>645</v>
      </c>
      <c r="M45" s="222">
        <v>0</v>
      </c>
      <c r="N45" s="122" t="s">
        <v>181</v>
      </c>
      <c r="O45" s="13"/>
    </row>
    <row r="46" spans="1:15" s="94" customFormat="1" ht="78" thickTop="1" thickBot="1" x14ac:dyDescent="0.3">
      <c r="A46" s="127">
        <v>29</v>
      </c>
      <c r="B46" s="122" t="s">
        <v>26</v>
      </c>
      <c r="C46" s="122" t="s">
        <v>263</v>
      </c>
      <c r="D46" s="121" t="s">
        <v>607</v>
      </c>
      <c r="E46" s="121" t="s">
        <v>290</v>
      </c>
      <c r="F46" s="125">
        <v>400000</v>
      </c>
      <c r="G46" s="122" t="s">
        <v>150</v>
      </c>
      <c r="H46" s="122" t="s">
        <v>149</v>
      </c>
      <c r="I46" s="122" t="s">
        <v>543</v>
      </c>
      <c r="J46" s="159" t="s">
        <v>675</v>
      </c>
      <c r="K46" s="158" t="s">
        <v>743</v>
      </c>
      <c r="L46" s="159" t="s">
        <v>645</v>
      </c>
      <c r="M46" s="222">
        <v>0</v>
      </c>
      <c r="N46" s="122" t="s">
        <v>181</v>
      </c>
      <c r="O46" s="13"/>
    </row>
    <row r="47" spans="1:15" s="94" customFormat="1" ht="66.75" customHeight="1" thickTop="1" thickBot="1" x14ac:dyDescent="0.3">
      <c r="A47" s="127">
        <v>34</v>
      </c>
      <c r="B47" s="122" t="s">
        <v>26</v>
      </c>
      <c r="C47" s="122" t="s">
        <v>263</v>
      </c>
      <c r="D47" s="121" t="s">
        <v>521</v>
      </c>
      <c r="E47" s="121" t="s">
        <v>348</v>
      </c>
      <c r="F47" s="125">
        <v>1700000</v>
      </c>
      <c r="G47" s="122" t="s">
        <v>150</v>
      </c>
      <c r="H47" s="122" t="s">
        <v>535</v>
      </c>
      <c r="I47" s="122" t="s">
        <v>349</v>
      </c>
      <c r="J47" s="159" t="s">
        <v>676</v>
      </c>
      <c r="K47" s="158" t="s">
        <v>743</v>
      </c>
      <c r="L47" s="159" t="s">
        <v>646</v>
      </c>
      <c r="M47" s="222">
        <v>2208757</v>
      </c>
      <c r="N47" s="122" t="s">
        <v>181</v>
      </c>
      <c r="O47" s="13"/>
    </row>
    <row r="48" spans="1:15" s="96" customFormat="1" ht="65.25" thickTop="1" thickBot="1" x14ac:dyDescent="0.3">
      <c r="A48" s="127">
        <v>29</v>
      </c>
      <c r="B48" s="122" t="s">
        <v>26</v>
      </c>
      <c r="C48" s="122" t="s">
        <v>263</v>
      </c>
      <c r="D48" s="122" t="s">
        <v>276</v>
      </c>
      <c r="E48" s="121" t="s">
        <v>277</v>
      </c>
      <c r="F48" s="125">
        <v>2100000</v>
      </c>
      <c r="G48" s="122" t="s">
        <v>150</v>
      </c>
      <c r="H48" s="122" t="s">
        <v>158</v>
      </c>
      <c r="I48" s="122" t="s">
        <v>257</v>
      </c>
      <c r="J48" s="159" t="s">
        <v>674</v>
      </c>
      <c r="K48" s="158" t="s">
        <v>743</v>
      </c>
      <c r="L48" s="159" t="s">
        <v>641</v>
      </c>
      <c r="M48" s="222" t="s">
        <v>855</v>
      </c>
      <c r="N48" s="122" t="s">
        <v>181</v>
      </c>
      <c r="O48" s="13"/>
    </row>
    <row r="49" spans="1:15" s="96" customFormat="1" ht="78" thickTop="1" thickBot="1" x14ac:dyDescent="0.3">
      <c r="A49" s="127">
        <v>29</v>
      </c>
      <c r="B49" s="122" t="s">
        <v>26</v>
      </c>
      <c r="C49" s="122" t="s">
        <v>263</v>
      </c>
      <c r="D49" s="122" t="s">
        <v>278</v>
      </c>
      <c r="E49" s="121" t="s">
        <v>279</v>
      </c>
      <c r="F49" s="125">
        <v>2100000</v>
      </c>
      <c r="G49" s="122" t="s">
        <v>150</v>
      </c>
      <c r="H49" s="122" t="s">
        <v>158</v>
      </c>
      <c r="I49" s="122" t="s">
        <v>257</v>
      </c>
      <c r="J49" s="159" t="s">
        <v>677</v>
      </c>
      <c r="K49" s="158" t="s">
        <v>743</v>
      </c>
      <c r="L49" s="159" t="s">
        <v>641</v>
      </c>
      <c r="M49" s="222" t="s">
        <v>856</v>
      </c>
      <c r="N49" s="122" t="s">
        <v>181</v>
      </c>
      <c r="O49" s="13"/>
    </row>
    <row r="50" spans="1:15" s="94" customFormat="1" ht="80.25" customHeight="1" thickTop="1" thickBot="1" x14ac:dyDescent="0.3">
      <c r="A50" s="127">
        <v>29</v>
      </c>
      <c r="B50" s="122" t="s">
        <v>26</v>
      </c>
      <c r="C50" s="122" t="s">
        <v>263</v>
      </c>
      <c r="D50" s="121" t="s">
        <v>610</v>
      </c>
      <c r="E50" s="121" t="s">
        <v>280</v>
      </c>
      <c r="F50" s="125">
        <v>375000</v>
      </c>
      <c r="G50" s="122" t="s">
        <v>150</v>
      </c>
      <c r="H50" s="122" t="s">
        <v>149</v>
      </c>
      <c r="I50" s="122" t="s">
        <v>609</v>
      </c>
      <c r="J50" s="159" t="s">
        <v>675</v>
      </c>
      <c r="K50" s="158" t="s">
        <v>743</v>
      </c>
      <c r="L50" s="159" t="s">
        <v>641</v>
      </c>
      <c r="M50" s="222">
        <v>0</v>
      </c>
      <c r="N50" s="122" t="s">
        <v>181</v>
      </c>
      <c r="O50" s="13"/>
    </row>
    <row r="51" spans="1:15" s="94" customFormat="1" ht="78" thickTop="1" thickBot="1" x14ac:dyDescent="0.3">
      <c r="A51" s="127">
        <v>29</v>
      </c>
      <c r="B51" s="122" t="s">
        <v>26</v>
      </c>
      <c r="C51" s="122" t="s">
        <v>263</v>
      </c>
      <c r="D51" s="121" t="s">
        <v>611</v>
      </c>
      <c r="E51" s="121" t="s">
        <v>281</v>
      </c>
      <c r="F51" s="125">
        <v>3600000</v>
      </c>
      <c r="G51" s="122" t="s">
        <v>150</v>
      </c>
      <c r="H51" s="122" t="s">
        <v>158</v>
      </c>
      <c r="I51" s="122" t="s">
        <v>257</v>
      </c>
      <c r="J51" s="159" t="s">
        <v>682</v>
      </c>
      <c r="K51" s="158" t="s">
        <v>743</v>
      </c>
      <c r="L51" s="159" t="s">
        <v>641</v>
      </c>
      <c r="M51" s="222" t="s">
        <v>857</v>
      </c>
      <c r="N51" s="122" t="s">
        <v>181</v>
      </c>
      <c r="O51" s="13"/>
    </row>
    <row r="52" spans="1:15" s="94" customFormat="1" ht="113.25" customHeight="1" thickTop="1" thickBot="1" x14ac:dyDescent="0.3">
      <c r="A52" s="127">
        <v>54</v>
      </c>
      <c r="B52" s="122" t="s">
        <v>26</v>
      </c>
      <c r="C52" s="122" t="s">
        <v>50</v>
      </c>
      <c r="D52" s="121" t="s">
        <v>522</v>
      </c>
      <c r="E52" s="121" t="s">
        <v>182</v>
      </c>
      <c r="F52" s="125">
        <v>500000</v>
      </c>
      <c r="G52" s="126" t="s">
        <v>150</v>
      </c>
      <c r="H52" s="126" t="s">
        <v>535</v>
      </c>
      <c r="I52" s="122" t="s">
        <v>183</v>
      </c>
      <c r="J52" s="159" t="s">
        <v>674</v>
      </c>
      <c r="K52" s="159" t="s">
        <v>647</v>
      </c>
      <c r="L52" s="159" t="s">
        <v>641</v>
      </c>
      <c r="M52" s="222">
        <v>0</v>
      </c>
      <c r="N52" s="122" t="s">
        <v>181</v>
      </c>
      <c r="O52" s="13"/>
    </row>
    <row r="53" spans="1:15" s="94" customFormat="1" ht="113.25" customHeight="1" thickTop="1" thickBot="1" x14ac:dyDescent="0.3">
      <c r="A53" s="127">
        <v>54</v>
      </c>
      <c r="B53" s="122" t="s">
        <v>26</v>
      </c>
      <c r="C53" s="122" t="s">
        <v>50</v>
      </c>
      <c r="D53" s="122" t="s">
        <v>549</v>
      </c>
      <c r="E53" s="121" t="s">
        <v>184</v>
      </c>
      <c r="F53" s="125">
        <v>500000</v>
      </c>
      <c r="G53" s="126" t="s">
        <v>152</v>
      </c>
      <c r="H53" s="126" t="s">
        <v>158</v>
      </c>
      <c r="I53" s="122" t="s">
        <v>612</v>
      </c>
      <c r="J53" s="159" t="s">
        <v>682</v>
      </c>
      <c r="K53" s="158" t="s">
        <v>743</v>
      </c>
      <c r="L53" s="159" t="s">
        <v>641</v>
      </c>
      <c r="M53" s="222">
        <v>0</v>
      </c>
      <c r="N53" s="122" t="s">
        <v>181</v>
      </c>
      <c r="O53" s="13"/>
    </row>
    <row r="54" spans="1:15" s="94" customFormat="1" ht="97.5" customHeight="1" thickTop="1" thickBot="1" x14ac:dyDescent="0.3">
      <c r="A54" s="127">
        <v>52</v>
      </c>
      <c r="B54" s="122" t="s">
        <v>26</v>
      </c>
      <c r="C54" s="122" t="s">
        <v>63</v>
      </c>
      <c r="D54" s="122" t="s">
        <v>550</v>
      </c>
      <c r="E54" s="121" t="s">
        <v>261</v>
      </c>
      <c r="F54" s="125">
        <v>5326472</v>
      </c>
      <c r="G54" s="122" t="s">
        <v>150</v>
      </c>
      <c r="H54" s="122" t="s">
        <v>158</v>
      </c>
      <c r="I54" s="122" t="s">
        <v>244</v>
      </c>
      <c r="J54" s="159" t="s">
        <v>686</v>
      </c>
      <c r="K54" s="158" t="s">
        <v>743</v>
      </c>
      <c r="L54" s="159" t="s">
        <v>641</v>
      </c>
      <c r="M54" s="222" t="s">
        <v>845</v>
      </c>
      <c r="N54" s="122" t="s">
        <v>181</v>
      </c>
      <c r="O54" s="13"/>
    </row>
    <row r="55" spans="1:15" s="96" customFormat="1" ht="67.5" customHeight="1" thickTop="1" thickBot="1" x14ac:dyDescent="0.3">
      <c r="A55" s="127">
        <v>25</v>
      </c>
      <c r="B55" s="122" t="s">
        <v>26</v>
      </c>
      <c r="C55" s="121" t="s">
        <v>82</v>
      </c>
      <c r="D55" s="121" t="s">
        <v>613</v>
      </c>
      <c r="E55" s="121" t="s">
        <v>423</v>
      </c>
      <c r="F55" s="125">
        <v>105000</v>
      </c>
      <c r="G55" s="122" t="s">
        <v>150</v>
      </c>
      <c r="H55" s="122" t="s">
        <v>173</v>
      </c>
      <c r="I55" s="122" t="s">
        <v>364</v>
      </c>
      <c r="J55" s="159" t="s">
        <v>846</v>
      </c>
      <c r="K55" s="159" t="s">
        <v>649</v>
      </c>
      <c r="L55" s="159" t="s">
        <v>648</v>
      </c>
      <c r="M55" s="222">
        <v>68639</v>
      </c>
      <c r="N55" s="122" t="s">
        <v>181</v>
      </c>
      <c r="O55" s="13"/>
    </row>
    <row r="56" spans="1:15" s="96" customFormat="1" ht="78" customHeight="1" thickTop="1" thickBot="1" x14ac:dyDescent="0.3">
      <c r="A56" s="127">
        <v>25</v>
      </c>
      <c r="B56" s="122" t="s">
        <v>26</v>
      </c>
      <c r="C56" s="121" t="s">
        <v>82</v>
      </c>
      <c r="D56" s="121" t="s">
        <v>429</v>
      </c>
      <c r="E56" s="121" t="s">
        <v>428</v>
      </c>
      <c r="F56" s="125">
        <v>105000</v>
      </c>
      <c r="G56" s="122" t="s">
        <v>150</v>
      </c>
      <c r="H56" s="122" t="s">
        <v>173</v>
      </c>
      <c r="I56" s="122" t="s">
        <v>364</v>
      </c>
      <c r="J56" s="159" t="s">
        <v>846</v>
      </c>
      <c r="K56" s="159" t="s">
        <v>649</v>
      </c>
      <c r="L56" s="159" t="s">
        <v>648</v>
      </c>
      <c r="M56" s="222">
        <v>69810</v>
      </c>
      <c r="N56" s="122" t="s">
        <v>181</v>
      </c>
      <c r="O56" s="13"/>
    </row>
    <row r="57" spans="1:15" s="96" customFormat="1" ht="72" customHeight="1" thickTop="1" thickBot="1" x14ac:dyDescent="0.3">
      <c r="A57" s="127">
        <v>25</v>
      </c>
      <c r="B57" s="122" t="s">
        <v>26</v>
      </c>
      <c r="C57" s="121" t="s">
        <v>82</v>
      </c>
      <c r="D57" s="121" t="s">
        <v>402</v>
      </c>
      <c r="E57" s="121" t="s">
        <v>370</v>
      </c>
      <c r="F57" s="125">
        <v>105000</v>
      </c>
      <c r="G57" s="122" t="s">
        <v>150</v>
      </c>
      <c r="H57" s="122" t="s">
        <v>173</v>
      </c>
      <c r="I57" s="122" t="s">
        <v>364</v>
      </c>
      <c r="J57" s="159" t="s">
        <v>846</v>
      </c>
      <c r="K57" s="159" t="s">
        <v>649</v>
      </c>
      <c r="L57" s="159" t="s">
        <v>648</v>
      </c>
      <c r="M57" s="222">
        <v>69810</v>
      </c>
      <c r="N57" s="122" t="s">
        <v>181</v>
      </c>
      <c r="O57" s="13"/>
    </row>
    <row r="58" spans="1:15" s="96" customFormat="1" ht="77.25" customHeight="1" thickTop="1" thickBot="1" x14ac:dyDescent="0.3">
      <c r="A58" s="127">
        <v>25</v>
      </c>
      <c r="B58" s="122" t="s">
        <v>26</v>
      </c>
      <c r="C58" s="121" t="s">
        <v>82</v>
      </c>
      <c r="D58" s="121" t="s">
        <v>403</v>
      </c>
      <c r="E58" s="121" t="s">
        <v>369</v>
      </c>
      <c r="F58" s="125">
        <v>105000</v>
      </c>
      <c r="G58" s="122" t="s">
        <v>150</v>
      </c>
      <c r="H58" s="122" t="s">
        <v>173</v>
      </c>
      <c r="I58" s="122" t="s">
        <v>364</v>
      </c>
      <c r="J58" s="159" t="s">
        <v>846</v>
      </c>
      <c r="K58" s="159" t="s">
        <v>649</v>
      </c>
      <c r="L58" s="159" t="s">
        <v>648</v>
      </c>
      <c r="M58" s="222">
        <v>68639</v>
      </c>
      <c r="N58" s="122" t="s">
        <v>181</v>
      </c>
      <c r="O58" s="13"/>
    </row>
    <row r="59" spans="1:15" s="96" customFormat="1" ht="78" customHeight="1" thickTop="1" thickBot="1" x14ac:dyDescent="0.3">
      <c r="A59" s="127">
        <v>25</v>
      </c>
      <c r="B59" s="122" t="s">
        <v>26</v>
      </c>
      <c r="C59" s="121" t="s">
        <v>82</v>
      </c>
      <c r="D59" s="121" t="s">
        <v>404</v>
      </c>
      <c r="E59" s="121" t="s">
        <v>368</v>
      </c>
      <c r="F59" s="125">
        <v>105000</v>
      </c>
      <c r="G59" s="122" t="s">
        <v>150</v>
      </c>
      <c r="H59" s="122" t="s">
        <v>173</v>
      </c>
      <c r="I59" s="122" t="s">
        <v>364</v>
      </c>
      <c r="J59" s="159" t="s">
        <v>846</v>
      </c>
      <c r="K59" s="159" t="s">
        <v>649</v>
      </c>
      <c r="L59" s="159" t="s">
        <v>648</v>
      </c>
      <c r="M59" s="222">
        <v>68639</v>
      </c>
      <c r="N59" s="122" t="s">
        <v>181</v>
      </c>
      <c r="O59" s="13"/>
    </row>
    <row r="60" spans="1:15" s="96" customFormat="1" ht="81" customHeight="1" thickTop="1" thickBot="1" x14ac:dyDescent="0.3">
      <c r="A60" s="127">
        <v>25</v>
      </c>
      <c r="B60" s="122" t="s">
        <v>26</v>
      </c>
      <c r="C60" s="121" t="s">
        <v>82</v>
      </c>
      <c r="D60" s="121" t="s">
        <v>405</v>
      </c>
      <c r="E60" s="121" t="s">
        <v>367</v>
      </c>
      <c r="F60" s="125">
        <v>105000</v>
      </c>
      <c r="G60" s="122" t="s">
        <v>150</v>
      </c>
      <c r="H60" s="122" t="s">
        <v>173</v>
      </c>
      <c r="I60" s="122" t="s">
        <v>364</v>
      </c>
      <c r="J60" s="159" t="s">
        <v>846</v>
      </c>
      <c r="K60" s="159" t="s">
        <v>649</v>
      </c>
      <c r="L60" s="159" t="s">
        <v>648</v>
      </c>
      <c r="M60" s="222">
        <v>69810</v>
      </c>
      <c r="N60" s="122" t="s">
        <v>181</v>
      </c>
      <c r="O60" s="13"/>
    </row>
    <row r="61" spans="1:15" s="96" customFormat="1" ht="80.25" customHeight="1" thickTop="1" thickBot="1" x14ac:dyDescent="0.3">
      <c r="A61" s="127">
        <v>25</v>
      </c>
      <c r="B61" s="122" t="s">
        <v>26</v>
      </c>
      <c r="C61" s="121" t="s">
        <v>82</v>
      </c>
      <c r="D61" s="121" t="s">
        <v>406</v>
      </c>
      <c r="E61" s="121" t="s">
        <v>430</v>
      </c>
      <c r="F61" s="125">
        <v>105000</v>
      </c>
      <c r="G61" s="122" t="s">
        <v>150</v>
      </c>
      <c r="H61" s="122" t="s">
        <v>173</v>
      </c>
      <c r="I61" s="122" t="s">
        <v>364</v>
      </c>
      <c r="J61" s="159" t="s">
        <v>846</v>
      </c>
      <c r="K61" s="159" t="s">
        <v>649</v>
      </c>
      <c r="L61" s="159" t="s">
        <v>648</v>
      </c>
      <c r="M61" s="222">
        <v>69810</v>
      </c>
      <c r="N61" s="122" t="s">
        <v>181</v>
      </c>
      <c r="O61" s="13"/>
    </row>
    <row r="62" spans="1:15" s="96" customFormat="1" ht="65.25" thickTop="1" thickBot="1" x14ac:dyDescent="0.3">
      <c r="A62" s="127">
        <v>25</v>
      </c>
      <c r="B62" s="122" t="s">
        <v>26</v>
      </c>
      <c r="C62" s="121" t="s">
        <v>82</v>
      </c>
      <c r="D62" s="121" t="s">
        <v>408</v>
      </c>
      <c r="E62" s="121" t="s">
        <v>365</v>
      </c>
      <c r="F62" s="125">
        <v>6000000</v>
      </c>
      <c r="G62" s="122" t="s">
        <v>150</v>
      </c>
      <c r="H62" s="122" t="s">
        <v>173</v>
      </c>
      <c r="I62" s="122" t="s">
        <v>364</v>
      </c>
      <c r="J62" s="159" t="s">
        <v>761</v>
      </c>
      <c r="K62" s="158" t="s">
        <v>743</v>
      </c>
      <c r="L62" s="159" t="s">
        <v>641</v>
      </c>
      <c r="M62" s="222">
        <v>0</v>
      </c>
      <c r="N62" s="122" t="s">
        <v>181</v>
      </c>
      <c r="O62" s="13"/>
    </row>
    <row r="63" spans="1:15" s="96" customFormat="1" ht="68.25" customHeight="1" thickTop="1" thickBot="1" x14ac:dyDescent="0.3">
      <c r="A63" s="127">
        <v>25</v>
      </c>
      <c r="B63" s="122" t="s">
        <v>26</v>
      </c>
      <c r="C63" s="121" t="s">
        <v>82</v>
      </c>
      <c r="D63" s="121" t="s">
        <v>407</v>
      </c>
      <c r="E63" s="121" t="s">
        <v>366</v>
      </c>
      <c r="F63" s="125">
        <v>105000</v>
      </c>
      <c r="G63" s="122" t="s">
        <v>150</v>
      </c>
      <c r="H63" s="122" t="s">
        <v>173</v>
      </c>
      <c r="I63" s="122" t="s">
        <v>364</v>
      </c>
      <c r="J63" s="159" t="s">
        <v>846</v>
      </c>
      <c r="K63" s="159" t="s">
        <v>649</v>
      </c>
      <c r="L63" s="159" t="s">
        <v>648</v>
      </c>
      <c r="M63" s="222">
        <v>68639</v>
      </c>
      <c r="N63" s="122" t="s">
        <v>181</v>
      </c>
      <c r="O63" s="13"/>
    </row>
    <row r="64" spans="1:15" s="94" customFormat="1" ht="80.25" customHeight="1" thickTop="1" thickBot="1" x14ac:dyDescent="0.3">
      <c r="A64" s="127">
        <v>34</v>
      </c>
      <c r="B64" s="122" t="s">
        <v>26</v>
      </c>
      <c r="C64" s="121" t="s">
        <v>232</v>
      </c>
      <c r="D64" s="121" t="s">
        <v>552</v>
      </c>
      <c r="E64" s="121" t="s">
        <v>233</v>
      </c>
      <c r="F64" s="125">
        <v>5000000</v>
      </c>
      <c r="G64" s="122" t="s">
        <v>150</v>
      </c>
      <c r="H64" s="122" t="s">
        <v>158</v>
      </c>
      <c r="I64" s="122" t="s">
        <v>551</v>
      </c>
      <c r="J64" s="159" t="s">
        <v>681</v>
      </c>
      <c r="K64" s="158" t="s">
        <v>743</v>
      </c>
      <c r="L64" s="159" t="s">
        <v>650</v>
      </c>
      <c r="M64" s="222" t="s">
        <v>858</v>
      </c>
      <c r="N64" s="122" t="s">
        <v>181</v>
      </c>
      <c r="O64" s="13"/>
    </row>
    <row r="65" spans="1:15" s="112" customFormat="1" ht="96.75" customHeight="1" thickTop="1" thickBot="1" x14ac:dyDescent="0.25">
      <c r="A65" s="127">
        <v>22</v>
      </c>
      <c r="B65" s="122" t="s">
        <v>28</v>
      </c>
      <c r="C65" s="122" t="s">
        <v>426</v>
      </c>
      <c r="D65" s="122" t="s">
        <v>614</v>
      </c>
      <c r="E65" s="122" t="s">
        <v>291</v>
      </c>
      <c r="F65" s="129">
        <v>100000</v>
      </c>
      <c r="G65" s="122" t="s">
        <v>150</v>
      </c>
      <c r="H65" s="122" t="s">
        <v>149</v>
      </c>
      <c r="I65" s="122" t="s">
        <v>94</v>
      </c>
      <c r="J65" s="159" t="s">
        <v>685</v>
      </c>
      <c r="K65" s="159" t="s">
        <v>1</v>
      </c>
      <c r="L65" s="159" t="s">
        <v>1</v>
      </c>
      <c r="M65" s="222" t="s">
        <v>684</v>
      </c>
      <c r="N65" s="122" t="s">
        <v>27</v>
      </c>
    </row>
    <row r="66" spans="1:15" s="94" customFormat="1" ht="83.25" customHeight="1" thickTop="1" thickBot="1" x14ac:dyDescent="0.3">
      <c r="A66" s="127">
        <v>32</v>
      </c>
      <c r="B66" s="122" t="s">
        <v>26</v>
      </c>
      <c r="C66" s="121" t="s">
        <v>191</v>
      </c>
      <c r="D66" s="121" t="s">
        <v>192</v>
      </c>
      <c r="E66" s="121" t="s">
        <v>193</v>
      </c>
      <c r="F66" s="125">
        <v>1500000</v>
      </c>
      <c r="G66" s="126" t="s">
        <v>150</v>
      </c>
      <c r="H66" s="126" t="s">
        <v>158</v>
      </c>
      <c r="I66" s="122" t="s">
        <v>553</v>
      </c>
      <c r="J66" s="159" t="s">
        <v>681</v>
      </c>
      <c r="K66" s="158" t="s">
        <v>743</v>
      </c>
      <c r="L66" s="159" t="s">
        <v>641</v>
      </c>
      <c r="M66" s="222">
        <v>0</v>
      </c>
      <c r="N66" s="122" t="s">
        <v>181</v>
      </c>
      <c r="O66" s="13"/>
    </row>
    <row r="67" spans="1:15" s="94" customFormat="1" ht="83.25" customHeight="1" thickTop="1" thickBot="1" x14ac:dyDescent="0.3">
      <c r="A67" s="127">
        <v>32</v>
      </c>
      <c r="B67" s="122" t="s">
        <v>26</v>
      </c>
      <c r="C67" s="121" t="s">
        <v>191</v>
      </c>
      <c r="D67" s="122" t="s">
        <v>194</v>
      </c>
      <c r="E67" s="121" t="s">
        <v>195</v>
      </c>
      <c r="F67" s="125">
        <v>280000</v>
      </c>
      <c r="G67" s="122" t="s">
        <v>150</v>
      </c>
      <c r="H67" s="122" t="s">
        <v>149</v>
      </c>
      <c r="I67" s="122" t="s">
        <v>543</v>
      </c>
      <c r="J67" s="159" t="s">
        <v>673</v>
      </c>
      <c r="K67" s="158" t="s">
        <v>743</v>
      </c>
      <c r="L67" s="159" t="s">
        <v>641</v>
      </c>
      <c r="M67" s="222">
        <v>0</v>
      </c>
      <c r="N67" s="122" t="s">
        <v>181</v>
      </c>
      <c r="O67" s="13"/>
    </row>
    <row r="68" spans="1:15" s="94" customFormat="1" ht="82.5" customHeight="1" thickTop="1" thickBot="1" x14ac:dyDescent="0.3">
      <c r="A68" s="127">
        <v>32</v>
      </c>
      <c r="B68" s="122" t="s">
        <v>26</v>
      </c>
      <c r="C68" s="121" t="s">
        <v>191</v>
      </c>
      <c r="D68" s="122" t="s">
        <v>196</v>
      </c>
      <c r="E68" s="121" t="s">
        <v>197</v>
      </c>
      <c r="F68" s="125">
        <v>280000</v>
      </c>
      <c r="G68" s="122" t="s">
        <v>150</v>
      </c>
      <c r="H68" s="122" t="s">
        <v>149</v>
      </c>
      <c r="I68" s="122" t="s">
        <v>543</v>
      </c>
      <c r="J68" s="159" t="s">
        <v>673</v>
      </c>
      <c r="K68" s="158" t="s">
        <v>743</v>
      </c>
      <c r="L68" s="159" t="s">
        <v>641</v>
      </c>
      <c r="M68" s="222">
        <v>0</v>
      </c>
      <c r="N68" s="122" t="s">
        <v>181</v>
      </c>
      <c r="O68" s="13"/>
    </row>
    <row r="69" spans="1:15" s="94" customFormat="1" ht="84" customHeight="1" thickTop="1" thickBot="1" x14ac:dyDescent="0.3">
      <c r="A69" s="127">
        <v>32</v>
      </c>
      <c r="B69" s="122" t="s">
        <v>26</v>
      </c>
      <c r="C69" s="121" t="s">
        <v>191</v>
      </c>
      <c r="D69" s="122" t="s">
        <v>432</v>
      </c>
      <c r="E69" s="121" t="s">
        <v>433</v>
      </c>
      <c r="F69" s="125">
        <v>280000</v>
      </c>
      <c r="G69" s="122" t="s">
        <v>150</v>
      </c>
      <c r="H69" s="122" t="s">
        <v>149</v>
      </c>
      <c r="I69" s="122" t="s">
        <v>543</v>
      </c>
      <c r="J69" s="159" t="s">
        <v>673</v>
      </c>
      <c r="K69" s="158" t="s">
        <v>743</v>
      </c>
      <c r="L69" s="159" t="s">
        <v>641</v>
      </c>
      <c r="M69" s="222">
        <v>0</v>
      </c>
      <c r="N69" s="122" t="s">
        <v>181</v>
      </c>
      <c r="O69" s="13"/>
    </row>
    <row r="70" spans="1:15" s="94" customFormat="1" ht="82.5" customHeight="1" thickTop="1" thickBot="1" x14ac:dyDescent="0.3">
      <c r="A70" s="127">
        <v>32</v>
      </c>
      <c r="B70" s="122" t="s">
        <v>26</v>
      </c>
      <c r="C70" s="121" t="s">
        <v>191</v>
      </c>
      <c r="D70" s="122" t="s">
        <v>199</v>
      </c>
      <c r="E70" s="121" t="s">
        <v>200</v>
      </c>
      <c r="F70" s="125">
        <v>280000</v>
      </c>
      <c r="G70" s="122" t="s">
        <v>150</v>
      </c>
      <c r="H70" s="122" t="s">
        <v>149</v>
      </c>
      <c r="I70" s="122" t="s">
        <v>543</v>
      </c>
      <c r="J70" s="159" t="s">
        <v>673</v>
      </c>
      <c r="K70" s="158" t="s">
        <v>743</v>
      </c>
      <c r="L70" s="159" t="s">
        <v>641</v>
      </c>
      <c r="M70" s="222">
        <v>0</v>
      </c>
      <c r="N70" s="122" t="s">
        <v>181</v>
      </c>
      <c r="O70" s="13"/>
    </row>
    <row r="71" spans="1:15" s="94" customFormat="1" ht="90.75" thickTop="1" thickBot="1" x14ac:dyDescent="0.3">
      <c r="A71" s="127">
        <v>32</v>
      </c>
      <c r="B71" s="122" t="s">
        <v>26</v>
      </c>
      <c r="C71" s="121" t="s">
        <v>191</v>
      </c>
      <c r="D71" s="122" t="s">
        <v>201</v>
      </c>
      <c r="E71" s="121" t="s">
        <v>202</v>
      </c>
      <c r="F71" s="125">
        <v>280000</v>
      </c>
      <c r="G71" s="122" t="s">
        <v>150</v>
      </c>
      <c r="H71" s="122" t="s">
        <v>149</v>
      </c>
      <c r="I71" s="122" t="s">
        <v>543</v>
      </c>
      <c r="J71" s="159" t="s">
        <v>673</v>
      </c>
      <c r="K71" s="158" t="s">
        <v>743</v>
      </c>
      <c r="L71" s="159" t="s">
        <v>641</v>
      </c>
      <c r="M71" s="222">
        <v>0</v>
      </c>
      <c r="N71" s="122" t="s">
        <v>181</v>
      </c>
      <c r="O71" s="13"/>
    </row>
    <row r="72" spans="1:15" s="94" customFormat="1" ht="78" customHeight="1" thickTop="1" thickBot="1" x14ac:dyDescent="0.3">
      <c r="A72" s="127">
        <v>32</v>
      </c>
      <c r="B72" s="122" t="s">
        <v>26</v>
      </c>
      <c r="C72" s="121" t="s">
        <v>191</v>
      </c>
      <c r="D72" s="122" t="s">
        <v>203</v>
      </c>
      <c r="E72" s="121" t="s">
        <v>204</v>
      </c>
      <c r="F72" s="125">
        <v>280000</v>
      </c>
      <c r="G72" s="122" t="s">
        <v>150</v>
      </c>
      <c r="H72" s="122" t="s">
        <v>149</v>
      </c>
      <c r="I72" s="122" t="s">
        <v>543</v>
      </c>
      <c r="J72" s="159" t="s">
        <v>673</v>
      </c>
      <c r="K72" s="158" t="s">
        <v>743</v>
      </c>
      <c r="L72" s="159" t="s">
        <v>641</v>
      </c>
      <c r="M72" s="222">
        <v>0</v>
      </c>
      <c r="N72" s="122" t="s">
        <v>181</v>
      </c>
      <c r="O72" s="13"/>
    </row>
    <row r="73" spans="1:15" s="148" customFormat="1" ht="87.75" customHeight="1" thickTop="1" thickBot="1" x14ac:dyDescent="0.3">
      <c r="A73" s="149">
        <v>32</v>
      </c>
      <c r="B73" s="150" t="s">
        <v>26</v>
      </c>
      <c r="C73" s="150" t="s">
        <v>191</v>
      </c>
      <c r="D73" s="150" t="s">
        <v>554</v>
      </c>
      <c r="E73" s="151" t="s">
        <v>391</v>
      </c>
      <c r="F73" s="152">
        <v>2400000</v>
      </c>
      <c r="G73" s="122" t="s">
        <v>150</v>
      </c>
      <c r="H73" s="122" t="s">
        <v>149</v>
      </c>
      <c r="I73" s="122" t="s">
        <v>543</v>
      </c>
      <c r="J73" s="159" t="s">
        <v>673</v>
      </c>
      <c r="K73" s="159" t="s">
        <v>652</v>
      </c>
      <c r="L73" s="159" t="s">
        <v>641</v>
      </c>
      <c r="M73" s="222">
        <v>0</v>
      </c>
      <c r="N73" s="150" t="s">
        <v>181</v>
      </c>
    </row>
    <row r="74" spans="1:15" s="13" customFormat="1" ht="92.25" customHeight="1" thickTop="1" thickBot="1" x14ac:dyDescent="0.3">
      <c r="A74" s="127">
        <v>34</v>
      </c>
      <c r="B74" s="122" t="s">
        <v>26</v>
      </c>
      <c r="C74" s="122" t="s">
        <v>220</v>
      </c>
      <c r="D74" s="122" t="s">
        <v>545</v>
      </c>
      <c r="E74" s="122" t="s">
        <v>424</v>
      </c>
      <c r="F74" s="130">
        <v>500000</v>
      </c>
      <c r="G74" s="122" t="s">
        <v>150</v>
      </c>
      <c r="H74" s="122" t="s">
        <v>149</v>
      </c>
      <c r="I74" s="122" t="s">
        <v>543</v>
      </c>
      <c r="J74" s="159" t="s">
        <v>673</v>
      </c>
      <c r="K74" s="158" t="s">
        <v>743</v>
      </c>
      <c r="L74" s="159" t="s">
        <v>658</v>
      </c>
      <c r="M74" s="222">
        <v>0</v>
      </c>
      <c r="N74" s="122" t="s">
        <v>27</v>
      </c>
    </row>
    <row r="75" spans="1:15" s="13" customFormat="1" ht="81.75" customHeight="1" thickTop="1" thickBot="1" x14ac:dyDescent="0.3">
      <c r="A75" s="127">
        <v>34</v>
      </c>
      <c r="B75" s="122" t="s">
        <v>26</v>
      </c>
      <c r="C75" s="122" t="s">
        <v>220</v>
      </c>
      <c r="D75" s="122" t="s">
        <v>633</v>
      </c>
      <c r="E75" s="159" t="s">
        <v>178</v>
      </c>
      <c r="F75" s="176">
        <v>700000</v>
      </c>
      <c r="G75" s="159" t="s">
        <v>150</v>
      </c>
      <c r="H75" s="159" t="s">
        <v>149</v>
      </c>
      <c r="I75" s="159" t="s">
        <v>631</v>
      </c>
      <c r="J75" s="159" t="s">
        <v>682</v>
      </c>
      <c r="K75" s="159" t="s">
        <v>657</v>
      </c>
      <c r="L75" s="159" t="s">
        <v>656</v>
      </c>
      <c r="M75" s="222">
        <v>0</v>
      </c>
      <c r="N75" s="122" t="s">
        <v>27</v>
      </c>
    </row>
    <row r="76" spans="1:15" s="13" customFormat="1" ht="89.25" customHeight="1" thickTop="1" thickBot="1" x14ac:dyDescent="0.3">
      <c r="A76" s="127">
        <v>34</v>
      </c>
      <c r="B76" s="122" t="s">
        <v>26</v>
      </c>
      <c r="C76" s="122" t="s">
        <v>220</v>
      </c>
      <c r="D76" s="122" t="s">
        <v>634</v>
      </c>
      <c r="E76" s="159" t="s">
        <v>425</v>
      </c>
      <c r="F76" s="176">
        <v>1600000</v>
      </c>
      <c r="G76" s="159" t="s">
        <v>150</v>
      </c>
      <c r="H76" s="159" t="s">
        <v>158</v>
      </c>
      <c r="I76" s="159" t="s">
        <v>632</v>
      </c>
      <c r="J76" s="159" t="s">
        <v>683</v>
      </c>
      <c r="K76" s="158" t="s">
        <v>743</v>
      </c>
      <c r="L76" s="159" t="s">
        <v>654</v>
      </c>
      <c r="M76" s="222">
        <v>0</v>
      </c>
      <c r="N76" s="122" t="s">
        <v>27</v>
      </c>
    </row>
    <row r="77" spans="1:15" s="94" customFormat="1" ht="81.75" customHeight="1" thickTop="1" thickBot="1" x14ac:dyDescent="0.3">
      <c r="A77" s="127">
        <v>34</v>
      </c>
      <c r="B77" s="122" t="s">
        <v>26</v>
      </c>
      <c r="C77" s="121" t="s">
        <v>220</v>
      </c>
      <c r="D77" s="121" t="s">
        <v>615</v>
      </c>
      <c r="E77" s="121" t="s">
        <v>221</v>
      </c>
      <c r="F77" s="125">
        <v>500000</v>
      </c>
      <c r="G77" s="122" t="s">
        <v>150</v>
      </c>
      <c r="H77" s="122" t="s">
        <v>149</v>
      </c>
      <c r="I77" s="122" t="s">
        <v>543</v>
      </c>
      <c r="J77" s="159" t="s">
        <v>673</v>
      </c>
      <c r="K77" s="158" t="s">
        <v>743</v>
      </c>
      <c r="L77" s="159" t="s">
        <v>641</v>
      </c>
      <c r="M77" s="222">
        <v>0</v>
      </c>
      <c r="N77" s="122" t="s">
        <v>181</v>
      </c>
      <c r="O77" s="13"/>
    </row>
    <row r="78" spans="1:15" s="94" customFormat="1" ht="76.5" customHeight="1" thickTop="1" thickBot="1" x14ac:dyDescent="0.3">
      <c r="A78" s="127">
        <v>34</v>
      </c>
      <c r="B78" s="122" t="s">
        <v>26</v>
      </c>
      <c r="C78" s="121" t="s">
        <v>220</v>
      </c>
      <c r="D78" s="121" t="s">
        <v>616</v>
      </c>
      <c r="E78" s="121" t="s">
        <v>222</v>
      </c>
      <c r="F78" s="125">
        <v>500000</v>
      </c>
      <c r="G78" s="122" t="s">
        <v>150</v>
      </c>
      <c r="H78" s="122" t="s">
        <v>149</v>
      </c>
      <c r="I78" s="122" t="s">
        <v>543</v>
      </c>
      <c r="J78" s="159" t="s">
        <v>673</v>
      </c>
      <c r="K78" s="158" t="s">
        <v>743</v>
      </c>
      <c r="L78" s="159" t="s">
        <v>641</v>
      </c>
      <c r="M78" s="222">
        <v>0</v>
      </c>
      <c r="N78" s="122" t="s">
        <v>181</v>
      </c>
      <c r="O78" s="13"/>
    </row>
    <row r="79" spans="1:15" s="94" customFormat="1" ht="75.75" customHeight="1" thickTop="1" thickBot="1" x14ac:dyDescent="0.3">
      <c r="A79" s="127">
        <v>34</v>
      </c>
      <c r="B79" s="122" t="s">
        <v>26</v>
      </c>
      <c r="C79" s="121" t="s">
        <v>220</v>
      </c>
      <c r="D79" s="121" t="s">
        <v>617</v>
      </c>
      <c r="E79" s="121" t="s">
        <v>223</v>
      </c>
      <c r="F79" s="125">
        <v>320000</v>
      </c>
      <c r="G79" s="122" t="s">
        <v>150</v>
      </c>
      <c r="H79" s="122" t="s">
        <v>149</v>
      </c>
      <c r="I79" s="122" t="s">
        <v>543</v>
      </c>
      <c r="J79" s="159" t="s">
        <v>673</v>
      </c>
      <c r="K79" s="158" t="s">
        <v>743</v>
      </c>
      <c r="L79" s="159" t="s">
        <v>641</v>
      </c>
      <c r="M79" s="222">
        <v>0</v>
      </c>
      <c r="N79" s="122" t="s">
        <v>181</v>
      </c>
      <c r="O79" s="13"/>
    </row>
    <row r="80" spans="1:15" s="94" customFormat="1" ht="78" customHeight="1" thickTop="1" thickBot="1" x14ac:dyDescent="0.3">
      <c r="A80" s="127">
        <v>34</v>
      </c>
      <c r="B80" s="122" t="s">
        <v>26</v>
      </c>
      <c r="C80" s="121" t="s">
        <v>220</v>
      </c>
      <c r="D80" s="121" t="s">
        <v>618</v>
      </c>
      <c r="E80" s="121" t="s">
        <v>224</v>
      </c>
      <c r="F80" s="125">
        <v>320000</v>
      </c>
      <c r="G80" s="122" t="s">
        <v>150</v>
      </c>
      <c r="H80" s="122" t="s">
        <v>149</v>
      </c>
      <c r="I80" s="122" t="s">
        <v>543</v>
      </c>
      <c r="J80" s="159" t="s">
        <v>673</v>
      </c>
      <c r="K80" s="158" t="s">
        <v>743</v>
      </c>
      <c r="L80" s="159" t="s">
        <v>641</v>
      </c>
      <c r="M80" s="222">
        <v>0</v>
      </c>
      <c r="N80" s="122" t="s">
        <v>181</v>
      </c>
      <c r="O80" s="13"/>
    </row>
    <row r="81" spans="1:15" s="94" customFormat="1" ht="78" thickTop="1" thickBot="1" x14ac:dyDescent="0.3">
      <c r="A81" s="127">
        <v>34</v>
      </c>
      <c r="B81" s="122" t="s">
        <v>26</v>
      </c>
      <c r="C81" s="121" t="s">
        <v>220</v>
      </c>
      <c r="D81" s="121" t="s">
        <v>619</v>
      </c>
      <c r="E81" s="121" t="s">
        <v>226</v>
      </c>
      <c r="F81" s="125">
        <v>320000</v>
      </c>
      <c r="G81" s="122" t="s">
        <v>150</v>
      </c>
      <c r="H81" s="122" t="s">
        <v>149</v>
      </c>
      <c r="I81" s="122" t="s">
        <v>543</v>
      </c>
      <c r="J81" s="159" t="s">
        <v>673</v>
      </c>
      <c r="K81" s="158" t="s">
        <v>743</v>
      </c>
      <c r="L81" s="159" t="s">
        <v>641</v>
      </c>
      <c r="M81" s="222">
        <v>0</v>
      </c>
      <c r="N81" s="122" t="s">
        <v>181</v>
      </c>
      <c r="O81" s="13"/>
    </row>
    <row r="82" spans="1:15" s="94" customFormat="1" ht="77.25" customHeight="1" thickTop="1" thickBot="1" x14ac:dyDescent="0.3">
      <c r="A82" s="127">
        <v>34</v>
      </c>
      <c r="B82" s="122" t="s">
        <v>26</v>
      </c>
      <c r="C82" s="121" t="s">
        <v>220</v>
      </c>
      <c r="D82" s="121" t="s">
        <v>620</v>
      </c>
      <c r="E82" s="121" t="s">
        <v>225</v>
      </c>
      <c r="F82" s="125">
        <v>320000</v>
      </c>
      <c r="G82" s="122" t="s">
        <v>150</v>
      </c>
      <c r="H82" s="122" t="s">
        <v>149</v>
      </c>
      <c r="I82" s="122" t="s">
        <v>543</v>
      </c>
      <c r="J82" s="159" t="s">
        <v>673</v>
      </c>
      <c r="K82" s="158" t="s">
        <v>743</v>
      </c>
      <c r="L82" s="159" t="s">
        <v>641</v>
      </c>
      <c r="M82" s="222">
        <v>0</v>
      </c>
      <c r="N82" s="122" t="s">
        <v>181</v>
      </c>
      <c r="O82" s="13"/>
    </row>
    <row r="83" spans="1:15" s="94" customFormat="1" ht="84" customHeight="1" thickTop="1" thickBot="1" x14ac:dyDescent="0.3">
      <c r="A83" s="127">
        <v>31</v>
      </c>
      <c r="B83" s="122" t="s">
        <v>26</v>
      </c>
      <c r="C83" s="122" t="s">
        <v>220</v>
      </c>
      <c r="D83" s="122" t="s">
        <v>546</v>
      </c>
      <c r="E83" s="126" t="s">
        <v>395</v>
      </c>
      <c r="F83" s="130">
        <v>550000</v>
      </c>
      <c r="G83" s="122" t="s">
        <v>150</v>
      </c>
      <c r="H83" s="122" t="s">
        <v>158</v>
      </c>
      <c r="I83" s="122" t="s">
        <v>90</v>
      </c>
      <c r="J83" s="159" t="s">
        <v>680</v>
      </c>
      <c r="K83" s="158" t="s">
        <v>743</v>
      </c>
      <c r="L83" s="159" t="s">
        <v>641</v>
      </c>
      <c r="M83" s="222">
        <v>0</v>
      </c>
      <c r="N83" s="122" t="s">
        <v>181</v>
      </c>
      <c r="O83" s="13"/>
    </row>
    <row r="84" spans="1:15" s="94" customFormat="1" ht="92.25" customHeight="1" thickTop="1" thickBot="1" x14ac:dyDescent="0.3">
      <c r="A84" s="127">
        <v>31</v>
      </c>
      <c r="B84" s="122" t="s">
        <v>26</v>
      </c>
      <c r="C84" s="122" t="s">
        <v>220</v>
      </c>
      <c r="D84" s="122" t="s">
        <v>547</v>
      </c>
      <c r="E84" s="126" t="s">
        <v>352</v>
      </c>
      <c r="F84" s="130">
        <v>550000</v>
      </c>
      <c r="G84" s="122" t="s">
        <v>150</v>
      </c>
      <c r="H84" s="122" t="s">
        <v>158</v>
      </c>
      <c r="I84" s="122" t="s">
        <v>90</v>
      </c>
      <c r="J84" s="159" t="s">
        <v>680</v>
      </c>
      <c r="K84" s="158" t="s">
        <v>743</v>
      </c>
      <c r="L84" s="159" t="s">
        <v>641</v>
      </c>
      <c r="M84" s="222">
        <v>0</v>
      </c>
      <c r="N84" s="122" t="s">
        <v>181</v>
      </c>
      <c r="O84" s="13"/>
    </row>
    <row r="85" spans="1:15" s="94" customFormat="1" ht="83.25" customHeight="1" thickTop="1" thickBot="1" x14ac:dyDescent="0.3">
      <c r="A85" s="127">
        <v>31</v>
      </c>
      <c r="B85" s="122" t="s">
        <v>26</v>
      </c>
      <c r="C85" s="122" t="s">
        <v>220</v>
      </c>
      <c r="D85" s="122" t="s">
        <v>548</v>
      </c>
      <c r="E85" s="126" t="s">
        <v>350</v>
      </c>
      <c r="F85" s="130">
        <v>550000</v>
      </c>
      <c r="G85" s="122" t="s">
        <v>150</v>
      </c>
      <c r="H85" s="122" t="s">
        <v>158</v>
      </c>
      <c r="I85" s="122" t="s">
        <v>90</v>
      </c>
      <c r="J85" s="159" t="s">
        <v>680</v>
      </c>
      <c r="K85" s="158" t="s">
        <v>743</v>
      </c>
      <c r="L85" s="159" t="s">
        <v>641</v>
      </c>
      <c r="M85" s="222">
        <v>0</v>
      </c>
      <c r="N85" s="122" t="s">
        <v>181</v>
      </c>
      <c r="O85" s="13"/>
    </row>
    <row r="86" spans="1:15" s="94" customFormat="1" ht="92.25" customHeight="1" thickTop="1" thickBot="1" x14ac:dyDescent="0.3">
      <c r="A86" s="127">
        <v>31</v>
      </c>
      <c r="B86" s="122" t="s">
        <v>26</v>
      </c>
      <c r="C86" s="122" t="s">
        <v>220</v>
      </c>
      <c r="D86" s="122" t="s">
        <v>621</v>
      </c>
      <c r="E86" s="126" t="s">
        <v>351</v>
      </c>
      <c r="F86" s="130">
        <v>550000</v>
      </c>
      <c r="G86" s="122" t="s">
        <v>150</v>
      </c>
      <c r="H86" s="122" t="s">
        <v>158</v>
      </c>
      <c r="I86" s="122" t="s">
        <v>90</v>
      </c>
      <c r="J86" s="159" t="s">
        <v>680</v>
      </c>
      <c r="K86" s="158" t="s">
        <v>743</v>
      </c>
      <c r="L86" s="159" t="s">
        <v>641</v>
      </c>
      <c r="M86" s="222">
        <v>0</v>
      </c>
      <c r="N86" s="122" t="s">
        <v>181</v>
      </c>
      <c r="O86" s="13"/>
    </row>
    <row r="87" spans="1:15" s="94" customFormat="1" ht="78" thickTop="1" thickBot="1" x14ac:dyDescent="0.3">
      <c r="A87" s="127">
        <v>34</v>
      </c>
      <c r="B87" s="122" t="s">
        <v>26</v>
      </c>
      <c r="C87" s="121" t="s">
        <v>220</v>
      </c>
      <c r="D87" s="121" t="s">
        <v>230</v>
      </c>
      <c r="E87" s="121" t="s">
        <v>231</v>
      </c>
      <c r="F87" s="125">
        <v>5000000</v>
      </c>
      <c r="G87" s="122" t="s">
        <v>150</v>
      </c>
      <c r="H87" s="122" t="s">
        <v>149</v>
      </c>
      <c r="I87" s="122" t="s">
        <v>211</v>
      </c>
      <c r="J87" s="159" t="s">
        <v>679</v>
      </c>
      <c r="K87" s="158" t="s">
        <v>743</v>
      </c>
      <c r="L87" s="159" t="s">
        <v>641</v>
      </c>
      <c r="M87" s="222">
        <v>0</v>
      </c>
      <c r="N87" s="122" t="s">
        <v>181</v>
      </c>
      <c r="O87" s="13"/>
    </row>
    <row r="88" spans="1:15" s="94" customFormat="1" ht="84" customHeight="1" thickTop="1" thickBot="1" x14ac:dyDescent="0.3">
      <c r="A88" s="127">
        <v>32</v>
      </c>
      <c r="B88" s="122" t="s">
        <v>26</v>
      </c>
      <c r="C88" s="122" t="s">
        <v>189</v>
      </c>
      <c r="D88" s="122" t="s">
        <v>409</v>
      </c>
      <c r="E88" s="121" t="s">
        <v>362</v>
      </c>
      <c r="F88" s="125">
        <v>80000</v>
      </c>
      <c r="G88" s="122" t="s">
        <v>150</v>
      </c>
      <c r="H88" s="126" t="s">
        <v>158</v>
      </c>
      <c r="I88" s="122" t="s">
        <v>363</v>
      </c>
      <c r="J88" s="159" t="s">
        <v>678</v>
      </c>
      <c r="K88" s="158" t="s">
        <v>743</v>
      </c>
      <c r="L88" s="159" t="s">
        <v>659</v>
      </c>
      <c r="M88" s="222">
        <v>0</v>
      </c>
      <c r="N88" s="122" t="s">
        <v>27</v>
      </c>
      <c r="O88" s="13"/>
    </row>
    <row r="89" spans="1:15" ht="15.75" thickTop="1" x14ac:dyDescent="0.25"/>
  </sheetData>
  <mergeCells count="12">
    <mergeCell ref="I2:I3"/>
    <mergeCell ref="J2:J3"/>
    <mergeCell ref="N2:N3"/>
    <mergeCell ref="A1:N1"/>
    <mergeCell ref="A2:A3"/>
    <mergeCell ref="B2:B3"/>
    <mergeCell ref="C2:C3"/>
    <mergeCell ref="D2:D3"/>
    <mergeCell ref="E2:E3"/>
    <mergeCell ref="F2:F3"/>
    <mergeCell ref="G2:G3"/>
    <mergeCell ref="H2:H3"/>
  </mergeCells>
  <pageMargins left="0.70866141732283472" right="0.70866141732283472" top="0.74803149606299213" bottom="0.74803149606299213" header="0.31496062992125984" footer="0.31496062992125984"/>
  <pageSetup paperSize="9" scale="55" fitToHeight="0" orientation="landscape" r:id="rId1"/>
  <headerFooter>
    <oddFooter>&amp;L&amp;N</oddFooter>
  </headerFooter>
  <rowBreaks count="1" manualBreakCount="1">
    <brk id="42" max="16383" man="1"/>
  </rowBreaks>
  <colBreaks count="1" manualBreakCount="1">
    <brk id="14"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N33"/>
  <sheetViews>
    <sheetView view="pageBreakPreview" topLeftCell="A30" zoomScale="95" zoomScaleNormal="100" zoomScaleSheetLayoutView="95" workbookViewId="0">
      <selection activeCell="F52" sqref="F52"/>
    </sheetView>
  </sheetViews>
  <sheetFormatPr defaultRowHeight="12.75" x14ac:dyDescent="0.2"/>
  <cols>
    <col min="1" max="1" width="5.5703125" style="40" customWidth="1"/>
    <col min="2" max="2" width="10.42578125" style="38" customWidth="1"/>
    <col min="3" max="3" width="13.140625" style="38" customWidth="1"/>
    <col min="4" max="4" width="15.42578125" style="38" customWidth="1"/>
    <col min="5" max="5" width="13.42578125" style="38" customWidth="1"/>
    <col min="6" max="6" width="11.7109375" style="40" bestFit="1" customWidth="1"/>
    <col min="7" max="7" width="11.5703125" style="38" customWidth="1"/>
    <col min="8" max="8" width="12.140625" style="38" customWidth="1"/>
    <col min="9" max="9" width="14.140625" style="38" customWidth="1"/>
    <col min="10" max="11" width="13.42578125" style="38" customWidth="1"/>
    <col min="12" max="12" width="15.28515625" style="38" customWidth="1"/>
    <col min="13" max="13" width="13.42578125" style="226" customWidth="1"/>
    <col min="14" max="14" width="13.42578125" style="38" customWidth="1"/>
    <col min="15" max="257" width="9.140625" style="38"/>
    <col min="258" max="258" width="5.5703125" style="38" customWidth="1"/>
    <col min="259" max="259" width="9.140625" style="38"/>
    <col min="260" max="260" width="10.28515625" style="38" customWidth="1"/>
    <col min="261" max="261" width="15.42578125" style="38" customWidth="1"/>
    <col min="262" max="262" width="12" style="38" customWidth="1"/>
    <col min="263" max="263" width="11.7109375" style="38" bestFit="1" customWidth="1"/>
    <col min="264" max="264" width="9.140625" style="38"/>
    <col min="265" max="265" width="10" style="38" customWidth="1"/>
    <col min="266" max="266" width="15.28515625" style="38" customWidth="1"/>
    <col min="267" max="267" width="12.140625" style="38" customWidth="1"/>
    <col min="268" max="268" width="12.5703125" style="38" customWidth="1"/>
    <col min="269" max="269" width="12.85546875" style="38" customWidth="1"/>
    <col min="270" max="513" width="9.140625" style="38"/>
    <col min="514" max="514" width="5.5703125" style="38" customWidth="1"/>
    <col min="515" max="515" width="9.140625" style="38"/>
    <col min="516" max="516" width="10.28515625" style="38" customWidth="1"/>
    <col min="517" max="517" width="15.42578125" style="38" customWidth="1"/>
    <col min="518" max="518" width="12" style="38" customWidth="1"/>
    <col min="519" max="519" width="11.7109375" style="38" bestFit="1" customWidth="1"/>
    <col min="520" max="520" width="9.140625" style="38"/>
    <col min="521" max="521" width="10" style="38" customWidth="1"/>
    <col min="522" max="522" width="15.28515625" style="38" customWidth="1"/>
    <col min="523" max="523" width="12.140625" style="38" customWidth="1"/>
    <col min="524" max="524" width="12.5703125" style="38" customWidth="1"/>
    <col min="525" max="525" width="12.85546875" style="38" customWidth="1"/>
    <col min="526" max="769" width="9.140625" style="38"/>
    <col min="770" max="770" width="5.5703125" style="38" customWidth="1"/>
    <col min="771" max="771" width="9.140625" style="38"/>
    <col min="772" max="772" width="10.28515625" style="38" customWidth="1"/>
    <col min="773" max="773" width="15.42578125" style="38" customWidth="1"/>
    <col min="774" max="774" width="12" style="38" customWidth="1"/>
    <col min="775" max="775" width="11.7109375" style="38" bestFit="1" customWidth="1"/>
    <col min="776" max="776" width="9.140625" style="38"/>
    <col min="777" max="777" width="10" style="38" customWidth="1"/>
    <col min="778" max="778" width="15.28515625" style="38" customWidth="1"/>
    <col min="779" max="779" width="12.140625" style="38" customWidth="1"/>
    <col min="780" max="780" width="12.5703125" style="38" customWidth="1"/>
    <col min="781" max="781" width="12.85546875" style="38" customWidth="1"/>
    <col min="782" max="1025" width="9.140625" style="38"/>
    <col min="1026" max="1026" width="5.5703125" style="38" customWidth="1"/>
    <col min="1027" max="1027" width="9.140625" style="38"/>
    <col min="1028" max="1028" width="10.28515625" style="38" customWidth="1"/>
    <col min="1029" max="1029" width="15.42578125" style="38" customWidth="1"/>
    <col min="1030" max="1030" width="12" style="38" customWidth="1"/>
    <col min="1031" max="1031" width="11.7109375" style="38" bestFit="1" customWidth="1"/>
    <col min="1032" max="1032" width="9.140625" style="38"/>
    <col min="1033" max="1033" width="10" style="38" customWidth="1"/>
    <col min="1034" max="1034" width="15.28515625" style="38" customWidth="1"/>
    <col min="1035" max="1035" width="12.140625" style="38" customWidth="1"/>
    <col min="1036" max="1036" width="12.5703125" style="38" customWidth="1"/>
    <col min="1037" max="1037" width="12.85546875" style="38" customWidth="1"/>
    <col min="1038" max="1281" width="9.140625" style="38"/>
    <col min="1282" max="1282" width="5.5703125" style="38" customWidth="1"/>
    <col min="1283" max="1283" width="9.140625" style="38"/>
    <col min="1284" max="1284" width="10.28515625" style="38" customWidth="1"/>
    <col min="1285" max="1285" width="15.42578125" style="38" customWidth="1"/>
    <col min="1286" max="1286" width="12" style="38" customWidth="1"/>
    <col min="1287" max="1287" width="11.7109375" style="38" bestFit="1" customWidth="1"/>
    <col min="1288" max="1288" width="9.140625" style="38"/>
    <col min="1289" max="1289" width="10" style="38" customWidth="1"/>
    <col min="1290" max="1290" width="15.28515625" style="38" customWidth="1"/>
    <col min="1291" max="1291" width="12.140625" style="38" customWidth="1"/>
    <col min="1292" max="1292" width="12.5703125" style="38" customWidth="1"/>
    <col min="1293" max="1293" width="12.85546875" style="38" customWidth="1"/>
    <col min="1294" max="1537" width="9.140625" style="38"/>
    <col min="1538" max="1538" width="5.5703125" style="38" customWidth="1"/>
    <col min="1539" max="1539" width="9.140625" style="38"/>
    <col min="1540" max="1540" width="10.28515625" style="38" customWidth="1"/>
    <col min="1541" max="1541" width="15.42578125" style="38" customWidth="1"/>
    <col min="1542" max="1542" width="12" style="38" customWidth="1"/>
    <col min="1543" max="1543" width="11.7109375" style="38" bestFit="1" customWidth="1"/>
    <col min="1544" max="1544" width="9.140625" style="38"/>
    <col min="1545" max="1545" width="10" style="38" customWidth="1"/>
    <col min="1546" max="1546" width="15.28515625" style="38" customWidth="1"/>
    <col min="1547" max="1547" width="12.140625" style="38" customWidth="1"/>
    <col min="1548" max="1548" width="12.5703125" style="38" customWidth="1"/>
    <col min="1549" max="1549" width="12.85546875" style="38" customWidth="1"/>
    <col min="1550" max="1793" width="9.140625" style="38"/>
    <col min="1794" max="1794" width="5.5703125" style="38" customWidth="1"/>
    <col min="1795" max="1795" width="9.140625" style="38"/>
    <col min="1796" max="1796" width="10.28515625" style="38" customWidth="1"/>
    <col min="1797" max="1797" width="15.42578125" style="38" customWidth="1"/>
    <col min="1798" max="1798" width="12" style="38" customWidth="1"/>
    <col min="1799" max="1799" width="11.7109375" style="38" bestFit="1" customWidth="1"/>
    <col min="1800" max="1800" width="9.140625" style="38"/>
    <col min="1801" max="1801" width="10" style="38" customWidth="1"/>
    <col min="1802" max="1802" width="15.28515625" style="38" customWidth="1"/>
    <col min="1803" max="1803" width="12.140625" style="38" customWidth="1"/>
    <col min="1804" max="1804" width="12.5703125" style="38" customWidth="1"/>
    <col min="1805" max="1805" width="12.85546875" style="38" customWidth="1"/>
    <col min="1806" max="2049" width="9.140625" style="38"/>
    <col min="2050" max="2050" width="5.5703125" style="38" customWidth="1"/>
    <col min="2051" max="2051" width="9.140625" style="38"/>
    <col min="2052" max="2052" width="10.28515625" style="38" customWidth="1"/>
    <col min="2053" max="2053" width="15.42578125" style="38" customWidth="1"/>
    <col min="2054" max="2054" width="12" style="38" customWidth="1"/>
    <col min="2055" max="2055" width="11.7109375" style="38" bestFit="1" customWidth="1"/>
    <col min="2056" max="2056" width="9.140625" style="38"/>
    <col min="2057" max="2057" width="10" style="38" customWidth="1"/>
    <col min="2058" max="2058" width="15.28515625" style="38" customWidth="1"/>
    <col min="2059" max="2059" width="12.140625" style="38" customWidth="1"/>
    <col min="2060" max="2060" width="12.5703125" style="38" customWidth="1"/>
    <col min="2061" max="2061" width="12.85546875" style="38" customWidth="1"/>
    <col min="2062" max="2305" width="9.140625" style="38"/>
    <col min="2306" max="2306" width="5.5703125" style="38" customWidth="1"/>
    <col min="2307" max="2307" width="9.140625" style="38"/>
    <col min="2308" max="2308" width="10.28515625" style="38" customWidth="1"/>
    <col min="2309" max="2309" width="15.42578125" style="38" customWidth="1"/>
    <col min="2310" max="2310" width="12" style="38" customWidth="1"/>
    <col min="2311" max="2311" width="11.7109375" style="38" bestFit="1" customWidth="1"/>
    <col min="2312" max="2312" width="9.140625" style="38"/>
    <col min="2313" max="2313" width="10" style="38" customWidth="1"/>
    <col min="2314" max="2314" width="15.28515625" style="38" customWidth="1"/>
    <col min="2315" max="2315" width="12.140625" style="38" customWidth="1"/>
    <col min="2316" max="2316" width="12.5703125" style="38" customWidth="1"/>
    <col min="2317" max="2317" width="12.85546875" style="38" customWidth="1"/>
    <col min="2318" max="2561" width="9.140625" style="38"/>
    <col min="2562" max="2562" width="5.5703125" style="38" customWidth="1"/>
    <col min="2563" max="2563" width="9.140625" style="38"/>
    <col min="2564" max="2564" width="10.28515625" style="38" customWidth="1"/>
    <col min="2565" max="2565" width="15.42578125" style="38" customWidth="1"/>
    <col min="2566" max="2566" width="12" style="38" customWidth="1"/>
    <col min="2567" max="2567" width="11.7109375" style="38" bestFit="1" customWidth="1"/>
    <col min="2568" max="2568" width="9.140625" style="38"/>
    <col min="2569" max="2569" width="10" style="38" customWidth="1"/>
    <col min="2570" max="2570" width="15.28515625" style="38" customWidth="1"/>
    <col min="2571" max="2571" width="12.140625" style="38" customWidth="1"/>
    <col min="2572" max="2572" width="12.5703125" style="38" customWidth="1"/>
    <col min="2573" max="2573" width="12.85546875" style="38" customWidth="1"/>
    <col min="2574" max="2817" width="9.140625" style="38"/>
    <col min="2818" max="2818" width="5.5703125" style="38" customWidth="1"/>
    <col min="2819" max="2819" width="9.140625" style="38"/>
    <col min="2820" max="2820" width="10.28515625" style="38" customWidth="1"/>
    <col min="2821" max="2821" width="15.42578125" style="38" customWidth="1"/>
    <col min="2822" max="2822" width="12" style="38" customWidth="1"/>
    <col min="2823" max="2823" width="11.7109375" style="38" bestFit="1" customWidth="1"/>
    <col min="2824" max="2824" width="9.140625" style="38"/>
    <col min="2825" max="2825" width="10" style="38" customWidth="1"/>
    <col min="2826" max="2826" width="15.28515625" style="38" customWidth="1"/>
    <col min="2827" max="2827" width="12.140625" style="38" customWidth="1"/>
    <col min="2828" max="2828" width="12.5703125" style="38" customWidth="1"/>
    <col min="2829" max="2829" width="12.85546875" style="38" customWidth="1"/>
    <col min="2830" max="3073" width="9.140625" style="38"/>
    <col min="3074" max="3074" width="5.5703125" style="38" customWidth="1"/>
    <col min="3075" max="3075" width="9.140625" style="38"/>
    <col min="3076" max="3076" width="10.28515625" style="38" customWidth="1"/>
    <col min="3077" max="3077" width="15.42578125" style="38" customWidth="1"/>
    <col min="3078" max="3078" width="12" style="38" customWidth="1"/>
    <col min="3079" max="3079" width="11.7109375" style="38" bestFit="1" customWidth="1"/>
    <col min="3080" max="3080" width="9.140625" style="38"/>
    <col min="3081" max="3081" width="10" style="38" customWidth="1"/>
    <col min="3082" max="3082" width="15.28515625" style="38" customWidth="1"/>
    <col min="3083" max="3083" width="12.140625" style="38" customWidth="1"/>
    <col min="3084" max="3084" width="12.5703125" style="38" customWidth="1"/>
    <col min="3085" max="3085" width="12.85546875" style="38" customWidth="1"/>
    <col min="3086" max="3329" width="9.140625" style="38"/>
    <col min="3330" max="3330" width="5.5703125" style="38" customWidth="1"/>
    <col min="3331" max="3331" width="9.140625" style="38"/>
    <col min="3332" max="3332" width="10.28515625" style="38" customWidth="1"/>
    <col min="3333" max="3333" width="15.42578125" style="38" customWidth="1"/>
    <col min="3334" max="3334" width="12" style="38" customWidth="1"/>
    <col min="3335" max="3335" width="11.7109375" style="38" bestFit="1" customWidth="1"/>
    <col min="3336" max="3336" width="9.140625" style="38"/>
    <col min="3337" max="3337" width="10" style="38" customWidth="1"/>
    <col min="3338" max="3338" width="15.28515625" style="38" customWidth="1"/>
    <col min="3339" max="3339" width="12.140625" style="38" customWidth="1"/>
    <col min="3340" max="3340" width="12.5703125" style="38" customWidth="1"/>
    <col min="3341" max="3341" width="12.85546875" style="38" customWidth="1"/>
    <col min="3342" max="3585" width="9.140625" style="38"/>
    <col min="3586" max="3586" width="5.5703125" style="38" customWidth="1"/>
    <col min="3587" max="3587" width="9.140625" style="38"/>
    <col min="3588" max="3588" width="10.28515625" style="38" customWidth="1"/>
    <col min="3589" max="3589" width="15.42578125" style="38" customWidth="1"/>
    <col min="3590" max="3590" width="12" style="38" customWidth="1"/>
    <col min="3591" max="3591" width="11.7109375" style="38" bestFit="1" customWidth="1"/>
    <col min="3592" max="3592" width="9.140625" style="38"/>
    <col min="3593" max="3593" width="10" style="38" customWidth="1"/>
    <col min="3594" max="3594" width="15.28515625" style="38" customWidth="1"/>
    <col min="3595" max="3595" width="12.140625" style="38" customWidth="1"/>
    <col min="3596" max="3596" width="12.5703125" style="38" customWidth="1"/>
    <col min="3597" max="3597" width="12.85546875" style="38" customWidth="1"/>
    <col min="3598" max="3841" width="9.140625" style="38"/>
    <col min="3842" max="3842" width="5.5703125" style="38" customWidth="1"/>
    <col min="3843" max="3843" width="9.140625" style="38"/>
    <col min="3844" max="3844" width="10.28515625" style="38" customWidth="1"/>
    <col min="3845" max="3845" width="15.42578125" style="38" customWidth="1"/>
    <col min="3846" max="3846" width="12" style="38" customWidth="1"/>
    <col min="3847" max="3847" width="11.7109375" style="38" bestFit="1" customWidth="1"/>
    <col min="3848" max="3848" width="9.140625" style="38"/>
    <col min="3849" max="3849" width="10" style="38" customWidth="1"/>
    <col min="3850" max="3850" width="15.28515625" style="38" customWidth="1"/>
    <col min="3851" max="3851" width="12.140625" style="38" customWidth="1"/>
    <col min="3852" max="3852" width="12.5703125" style="38" customWidth="1"/>
    <col min="3853" max="3853" width="12.85546875" style="38" customWidth="1"/>
    <col min="3854" max="4097" width="9.140625" style="38"/>
    <col min="4098" max="4098" width="5.5703125" style="38" customWidth="1"/>
    <col min="4099" max="4099" width="9.140625" style="38"/>
    <col min="4100" max="4100" width="10.28515625" style="38" customWidth="1"/>
    <col min="4101" max="4101" width="15.42578125" style="38" customWidth="1"/>
    <col min="4102" max="4102" width="12" style="38" customWidth="1"/>
    <col min="4103" max="4103" width="11.7109375" style="38" bestFit="1" customWidth="1"/>
    <col min="4104" max="4104" width="9.140625" style="38"/>
    <col min="4105" max="4105" width="10" style="38" customWidth="1"/>
    <col min="4106" max="4106" width="15.28515625" style="38" customWidth="1"/>
    <col min="4107" max="4107" width="12.140625" style="38" customWidth="1"/>
    <col min="4108" max="4108" width="12.5703125" style="38" customWidth="1"/>
    <col min="4109" max="4109" width="12.85546875" style="38" customWidth="1"/>
    <col min="4110" max="4353" width="9.140625" style="38"/>
    <col min="4354" max="4354" width="5.5703125" style="38" customWidth="1"/>
    <col min="4355" max="4355" width="9.140625" style="38"/>
    <col min="4356" max="4356" width="10.28515625" style="38" customWidth="1"/>
    <col min="4357" max="4357" width="15.42578125" style="38" customWidth="1"/>
    <col min="4358" max="4358" width="12" style="38" customWidth="1"/>
    <col min="4359" max="4359" width="11.7109375" style="38" bestFit="1" customWidth="1"/>
    <col min="4360" max="4360" width="9.140625" style="38"/>
    <col min="4361" max="4361" width="10" style="38" customWidth="1"/>
    <col min="4362" max="4362" width="15.28515625" style="38" customWidth="1"/>
    <col min="4363" max="4363" width="12.140625" style="38" customWidth="1"/>
    <col min="4364" max="4364" width="12.5703125" style="38" customWidth="1"/>
    <col min="4365" max="4365" width="12.85546875" style="38" customWidth="1"/>
    <col min="4366" max="4609" width="9.140625" style="38"/>
    <col min="4610" max="4610" width="5.5703125" style="38" customWidth="1"/>
    <col min="4611" max="4611" width="9.140625" style="38"/>
    <col min="4612" max="4612" width="10.28515625" style="38" customWidth="1"/>
    <col min="4613" max="4613" width="15.42578125" style="38" customWidth="1"/>
    <col min="4614" max="4614" width="12" style="38" customWidth="1"/>
    <col min="4615" max="4615" width="11.7109375" style="38" bestFit="1" customWidth="1"/>
    <col min="4616" max="4616" width="9.140625" style="38"/>
    <col min="4617" max="4617" width="10" style="38" customWidth="1"/>
    <col min="4618" max="4618" width="15.28515625" style="38" customWidth="1"/>
    <col min="4619" max="4619" width="12.140625" style="38" customWidth="1"/>
    <col min="4620" max="4620" width="12.5703125" style="38" customWidth="1"/>
    <col min="4621" max="4621" width="12.85546875" style="38" customWidth="1"/>
    <col min="4622" max="4865" width="9.140625" style="38"/>
    <col min="4866" max="4866" width="5.5703125" style="38" customWidth="1"/>
    <col min="4867" max="4867" width="9.140625" style="38"/>
    <col min="4868" max="4868" width="10.28515625" style="38" customWidth="1"/>
    <col min="4869" max="4869" width="15.42578125" style="38" customWidth="1"/>
    <col min="4870" max="4870" width="12" style="38" customWidth="1"/>
    <col min="4871" max="4871" width="11.7109375" style="38" bestFit="1" customWidth="1"/>
    <col min="4872" max="4872" width="9.140625" style="38"/>
    <col min="4873" max="4873" width="10" style="38" customWidth="1"/>
    <col min="4874" max="4874" width="15.28515625" style="38" customWidth="1"/>
    <col min="4875" max="4875" width="12.140625" style="38" customWidth="1"/>
    <col min="4876" max="4876" width="12.5703125" style="38" customWidth="1"/>
    <col min="4877" max="4877" width="12.85546875" style="38" customWidth="1"/>
    <col min="4878" max="5121" width="9.140625" style="38"/>
    <col min="5122" max="5122" width="5.5703125" style="38" customWidth="1"/>
    <col min="5123" max="5123" width="9.140625" style="38"/>
    <col min="5124" max="5124" width="10.28515625" style="38" customWidth="1"/>
    <col min="5125" max="5125" width="15.42578125" style="38" customWidth="1"/>
    <col min="5126" max="5126" width="12" style="38" customWidth="1"/>
    <col min="5127" max="5127" width="11.7109375" style="38" bestFit="1" customWidth="1"/>
    <col min="5128" max="5128" width="9.140625" style="38"/>
    <col min="5129" max="5129" width="10" style="38" customWidth="1"/>
    <col min="5130" max="5130" width="15.28515625" style="38" customWidth="1"/>
    <col min="5131" max="5131" width="12.140625" style="38" customWidth="1"/>
    <col min="5132" max="5132" width="12.5703125" style="38" customWidth="1"/>
    <col min="5133" max="5133" width="12.85546875" style="38" customWidth="1"/>
    <col min="5134" max="5377" width="9.140625" style="38"/>
    <col min="5378" max="5378" width="5.5703125" style="38" customWidth="1"/>
    <col min="5379" max="5379" width="9.140625" style="38"/>
    <col min="5380" max="5380" width="10.28515625" style="38" customWidth="1"/>
    <col min="5381" max="5381" width="15.42578125" style="38" customWidth="1"/>
    <col min="5382" max="5382" width="12" style="38" customWidth="1"/>
    <col min="5383" max="5383" width="11.7109375" style="38" bestFit="1" customWidth="1"/>
    <col min="5384" max="5384" width="9.140625" style="38"/>
    <col min="5385" max="5385" width="10" style="38" customWidth="1"/>
    <col min="5386" max="5386" width="15.28515625" style="38" customWidth="1"/>
    <col min="5387" max="5387" width="12.140625" style="38" customWidth="1"/>
    <col min="5388" max="5388" width="12.5703125" style="38" customWidth="1"/>
    <col min="5389" max="5389" width="12.85546875" style="38" customWidth="1"/>
    <col min="5390" max="5633" width="9.140625" style="38"/>
    <col min="5634" max="5634" width="5.5703125" style="38" customWidth="1"/>
    <col min="5635" max="5635" width="9.140625" style="38"/>
    <col min="5636" max="5636" width="10.28515625" style="38" customWidth="1"/>
    <col min="5637" max="5637" width="15.42578125" style="38" customWidth="1"/>
    <col min="5638" max="5638" width="12" style="38" customWidth="1"/>
    <col min="5639" max="5639" width="11.7109375" style="38" bestFit="1" customWidth="1"/>
    <col min="5640" max="5640" width="9.140625" style="38"/>
    <col min="5641" max="5641" width="10" style="38" customWidth="1"/>
    <col min="5642" max="5642" width="15.28515625" style="38" customWidth="1"/>
    <col min="5643" max="5643" width="12.140625" style="38" customWidth="1"/>
    <col min="5644" max="5644" width="12.5703125" style="38" customWidth="1"/>
    <col min="5645" max="5645" width="12.85546875" style="38" customWidth="1"/>
    <col min="5646" max="5889" width="9.140625" style="38"/>
    <col min="5890" max="5890" width="5.5703125" style="38" customWidth="1"/>
    <col min="5891" max="5891" width="9.140625" style="38"/>
    <col min="5892" max="5892" width="10.28515625" style="38" customWidth="1"/>
    <col min="5893" max="5893" width="15.42578125" style="38" customWidth="1"/>
    <col min="5894" max="5894" width="12" style="38" customWidth="1"/>
    <col min="5895" max="5895" width="11.7109375" style="38" bestFit="1" customWidth="1"/>
    <col min="5896" max="5896" width="9.140625" style="38"/>
    <col min="5897" max="5897" width="10" style="38" customWidth="1"/>
    <col min="5898" max="5898" width="15.28515625" style="38" customWidth="1"/>
    <col min="5899" max="5899" width="12.140625" style="38" customWidth="1"/>
    <col min="5900" max="5900" width="12.5703125" style="38" customWidth="1"/>
    <col min="5901" max="5901" width="12.85546875" style="38" customWidth="1"/>
    <col min="5902" max="6145" width="9.140625" style="38"/>
    <col min="6146" max="6146" width="5.5703125" style="38" customWidth="1"/>
    <col min="6147" max="6147" width="9.140625" style="38"/>
    <col min="6148" max="6148" width="10.28515625" style="38" customWidth="1"/>
    <col min="6149" max="6149" width="15.42578125" style="38" customWidth="1"/>
    <col min="6150" max="6150" width="12" style="38" customWidth="1"/>
    <col min="6151" max="6151" width="11.7109375" style="38" bestFit="1" customWidth="1"/>
    <col min="6152" max="6152" width="9.140625" style="38"/>
    <col min="6153" max="6153" width="10" style="38" customWidth="1"/>
    <col min="6154" max="6154" width="15.28515625" style="38" customWidth="1"/>
    <col min="6155" max="6155" width="12.140625" style="38" customWidth="1"/>
    <col min="6156" max="6156" width="12.5703125" style="38" customWidth="1"/>
    <col min="6157" max="6157" width="12.85546875" style="38" customWidth="1"/>
    <col min="6158" max="6401" width="9.140625" style="38"/>
    <col min="6402" max="6402" width="5.5703125" style="38" customWidth="1"/>
    <col min="6403" max="6403" width="9.140625" style="38"/>
    <col min="6404" max="6404" width="10.28515625" style="38" customWidth="1"/>
    <col min="6405" max="6405" width="15.42578125" style="38" customWidth="1"/>
    <col min="6406" max="6406" width="12" style="38" customWidth="1"/>
    <col min="6407" max="6407" width="11.7109375" style="38" bestFit="1" customWidth="1"/>
    <col min="6408" max="6408" width="9.140625" style="38"/>
    <col min="6409" max="6409" width="10" style="38" customWidth="1"/>
    <col min="6410" max="6410" width="15.28515625" style="38" customWidth="1"/>
    <col min="6411" max="6411" width="12.140625" style="38" customWidth="1"/>
    <col min="6412" max="6412" width="12.5703125" style="38" customWidth="1"/>
    <col min="6413" max="6413" width="12.85546875" style="38" customWidth="1"/>
    <col min="6414" max="6657" width="9.140625" style="38"/>
    <col min="6658" max="6658" width="5.5703125" style="38" customWidth="1"/>
    <col min="6659" max="6659" width="9.140625" style="38"/>
    <col min="6660" max="6660" width="10.28515625" style="38" customWidth="1"/>
    <col min="6661" max="6661" width="15.42578125" style="38" customWidth="1"/>
    <col min="6662" max="6662" width="12" style="38" customWidth="1"/>
    <col min="6663" max="6663" width="11.7109375" style="38" bestFit="1" customWidth="1"/>
    <col min="6664" max="6664" width="9.140625" style="38"/>
    <col min="6665" max="6665" width="10" style="38" customWidth="1"/>
    <col min="6666" max="6666" width="15.28515625" style="38" customWidth="1"/>
    <col min="6667" max="6667" width="12.140625" style="38" customWidth="1"/>
    <col min="6668" max="6668" width="12.5703125" style="38" customWidth="1"/>
    <col min="6669" max="6669" width="12.85546875" style="38" customWidth="1"/>
    <col min="6670" max="6913" width="9.140625" style="38"/>
    <col min="6914" max="6914" width="5.5703125" style="38" customWidth="1"/>
    <col min="6915" max="6915" width="9.140625" style="38"/>
    <col min="6916" max="6916" width="10.28515625" style="38" customWidth="1"/>
    <col min="6917" max="6917" width="15.42578125" style="38" customWidth="1"/>
    <col min="6918" max="6918" width="12" style="38" customWidth="1"/>
    <col min="6919" max="6919" width="11.7109375" style="38" bestFit="1" customWidth="1"/>
    <col min="6920" max="6920" width="9.140625" style="38"/>
    <col min="6921" max="6921" width="10" style="38" customWidth="1"/>
    <col min="6922" max="6922" width="15.28515625" style="38" customWidth="1"/>
    <col min="6923" max="6923" width="12.140625" style="38" customWidth="1"/>
    <col min="6924" max="6924" width="12.5703125" style="38" customWidth="1"/>
    <col min="6925" max="6925" width="12.85546875" style="38" customWidth="1"/>
    <col min="6926" max="7169" width="9.140625" style="38"/>
    <col min="7170" max="7170" width="5.5703125" style="38" customWidth="1"/>
    <col min="7171" max="7171" width="9.140625" style="38"/>
    <col min="7172" max="7172" width="10.28515625" style="38" customWidth="1"/>
    <col min="7173" max="7173" width="15.42578125" style="38" customWidth="1"/>
    <col min="7174" max="7174" width="12" style="38" customWidth="1"/>
    <col min="7175" max="7175" width="11.7109375" style="38" bestFit="1" customWidth="1"/>
    <col min="7176" max="7176" width="9.140625" style="38"/>
    <col min="7177" max="7177" width="10" style="38" customWidth="1"/>
    <col min="7178" max="7178" width="15.28515625" style="38" customWidth="1"/>
    <col min="7179" max="7179" width="12.140625" style="38" customWidth="1"/>
    <col min="7180" max="7180" width="12.5703125" style="38" customWidth="1"/>
    <col min="7181" max="7181" width="12.85546875" style="38" customWidth="1"/>
    <col min="7182" max="7425" width="9.140625" style="38"/>
    <col min="7426" max="7426" width="5.5703125" style="38" customWidth="1"/>
    <col min="7427" max="7427" width="9.140625" style="38"/>
    <col min="7428" max="7428" width="10.28515625" style="38" customWidth="1"/>
    <col min="7429" max="7429" width="15.42578125" style="38" customWidth="1"/>
    <col min="7430" max="7430" width="12" style="38" customWidth="1"/>
    <col min="7431" max="7431" width="11.7109375" style="38" bestFit="1" customWidth="1"/>
    <col min="7432" max="7432" width="9.140625" style="38"/>
    <col min="7433" max="7433" width="10" style="38" customWidth="1"/>
    <col min="7434" max="7434" width="15.28515625" style="38" customWidth="1"/>
    <col min="7435" max="7435" width="12.140625" style="38" customWidth="1"/>
    <col min="7436" max="7436" width="12.5703125" style="38" customWidth="1"/>
    <col min="7437" max="7437" width="12.85546875" style="38" customWidth="1"/>
    <col min="7438" max="7681" width="9.140625" style="38"/>
    <col min="7682" max="7682" width="5.5703125" style="38" customWidth="1"/>
    <col min="7683" max="7683" width="9.140625" style="38"/>
    <col min="7684" max="7684" width="10.28515625" style="38" customWidth="1"/>
    <col min="7685" max="7685" width="15.42578125" style="38" customWidth="1"/>
    <col min="7686" max="7686" width="12" style="38" customWidth="1"/>
    <col min="7687" max="7687" width="11.7109375" style="38" bestFit="1" customWidth="1"/>
    <col min="7688" max="7688" width="9.140625" style="38"/>
    <col min="7689" max="7689" width="10" style="38" customWidth="1"/>
    <col min="7690" max="7690" width="15.28515625" style="38" customWidth="1"/>
    <col min="7691" max="7691" width="12.140625" style="38" customWidth="1"/>
    <col min="7692" max="7692" width="12.5703125" style="38" customWidth="1"/>
    <col min="7693" max="7693" width="12.85546875" style="38" customWidth="1"/>
    <col min="7694" max="7937" width="9.140625" style="38"/>
    <col min="7938" max="7938" width="5.5703125" style="38" customWidth="1"/>
    <col min="7939" max="7939" width="9.140625" style="38"/>
    <col min="7940" max="7940" width="10.28515625" style="38" customWidth="1"/>
    <col min="7941" max="7941" width="15.42578125" style="38" customWidth="1"/>
    <col min="7942" max="7942" width="12" style="38" customWidth="1"/>
    <col min="7943" max="7943" width="11.7109375" style="38" bestFit="1" customWidth="1"/>
    <col min="7944" max="7944" width="9.140625" style="38"/>
    <col min="7945" max="7945" width="10" style="38" customWidth="1"/>
    <col min="7946" max="7946" width="15.28515625" style="38" customWidth="1"/>
    <col min="7947" max="7947" width="12.140625" style="38" customWidth="1"/>
    <col min="7948" max="7948" width="12.5703125" style="38" customWidth="1"/>
    <col min="7949" max="7949" width="12.85546875" style="38" customWidth="1"/>
    <col min="7950" max="8193" width="9.140625" style="38"/>
    <col min="8194" max="8194" width="5.5703125" style="38" customWidth="1"/>
    <col min="8195" max="8195" width="9.140625" style="38"/>
    <col min="8196" max="8196" width="10.28515625" style="38" customWidth="1"/>
    <col min="8197" max="8197" width="15.42578125" style="38" customWidth="1"/>
    <col min="8198" max="8198" width="12" style="38" customWidth="1"/>
    <col min="8199" max="8199" width="11.7109375" style="38" bestFit="1" customWidth="1"/>
    <col min="8200" max="8200" width="9.140625" style="38"/>
    <col min="8201" max="8201" width="10" style="38" customWidth="1"/>
    <col min="8202" max="8202" width="15.28515625" style="38" customWidth="1"/>
    <col min="8203" max="8203" width="12.140625" style="38" customWidth="1"/>
    <col min="8204" max="8204" width="12.5703125" style="38" customWidth="1"/>
    <col min="8205" max="8205" width="12.85546875" style="38" customWidth="1"/>
    <col min="8206" max="8449" width="9.140625" style="38"/>
    <col min="8450" max="8450" width="5.5703125" style="38" customWidth="1"/>
    <col min="8451" max="8451" width="9.140625" style="38"/>
    <col min="8452" max="8452" width="10.28515625" style="38" customWidth="1"/>
    <col min="8453" max="8453" width="15.42578125" style="38" customWidth="1"/>
    <col min="8454" max="8454" width="12" style="38" customWidth="1"/>
    <col min="8455" max="8455" width="11.7109375" style="38" bestFit="1" customWidth="1"/>
    <col min="8456" max="8456" width="9.140625" style="38"/>
    <col min="8457" max="8457" width="10" style="38" customWidth="1"/>
    <col min="8458" max="8458" width="15.28515625" style="38" customWidth="1"/>
    <col min="8459" max="8459" width="12.140625" style="38" customWidth="1"/>
    <col min="8460" max="8460" width="12.5703125" style="38" customWidth="1"/>
    <col min="8461" max="8461" width="12.85546875" style="38" customWidth="1"/>
    <col min="8462" max="8705" width="9.140625" style="38"/>
    <col min="8706" max="8706" width="5.5703125" style="38" customWidth="1"/>
    <col min="8707" max="8707" width="9.140625" style="38"/>
    <col min="8708" max="8708" width="10.28515625" style="38" customWidth="1"/>
    <col min="8709" max="8709" width="15.42578125" style="38" customWidth="1"/>
    <col min="8710" max="8710" width="12" style="38" customWidth="1"/>
    <col min="8711" max="8711" width="11.7109375" style="38" bestFit="1" customWidth="1"/>
    <col min="8712" max="8712" width="9.140625" style="38"/>
    <col min="8713" max="8713" width="10" style="38" customWidth="1"/>
    <col min="8714" max="8714" width="15.28515625" style="38" customWidth="1"/>
    <col min="8715" max="8715" width="12.140625" style="38" customWidth="1"/>
    <col min="8716" max="8716" width="12.5703125" style="38" customWidth="1"/>
    <col min="8717" max="8717" width="12.85546875" style="38" customWidth="1"/>
    <col min="8718" max="8961" width="9.140625" style="38"/>
    <col min="8962" max="8962" width="5.5703125" style="38" customWidth="1"/>
    <col min="8963" max="8963" width="9.140625" style="38"/>
    <col min="8964" max="8964" width="10.28515625" style="38" customWidth="1"/>
    <col min="8965" max="8965" width="15.42578125" style="38" customWidth="1"/>
    <col min="8966" max="8966" width="12" style="38" customWidth="1"/>
    <col min="8967" max="8967" width="11.7109375" style="38" bestFit="1" customWidth="1"/>
    <col min="8968" max="8968" width="9.140625" style="38"/>
    <col min="8969" max="8969" width="10" style="38" customWidth="1"/>
    <col min="8970" max="8970" width="15.28515625" style="38" customWidth="1"/>
    <col min="8971" max="8971" width="12.140625" style="38" customWidth="1"/>
    <col min="8972" max="8972" width="12.5703125" style="38" customWidth="1"/>
    <col min="8973" max="8973" width="12.85546875" style="38" customWidth="1"/>
    <col min="8974" max="9217" width="9.140625" style="38"/>
    <col min="9218" max="9218" width="5.5703125" style="38" customWidth="1"/>
    <col min="9219" max="9219" width="9.140625" style="38"/>
    <col min="9220" max="9220" width="10.28515625" style="38" customWidth="1"/>
    <col min="9221" max="9221" width="15.42578125" style="38" customWidth="1"/>
    <col min="9222" max="9222" width="12" style="38" customWidth="1"/>
    <col min="9223" max="9223" width="11.7109375" style="38" bestFit="1" customWidth="1"/>
    <col min="9224" max="9224" width="9.140625" style="38"/>
    <col min="9225" max="9225" width="10" style="38" customWidth="1"/>
    <col min="9226" max="9226" width="15.28515625" style="38" customWidth="1"/>
    <col min="9227" max="9227" width="12.140625" style="38" customWidth="1"/>
    <col min="9228" max="9228" width="12.5703125" style="38" customWidth="1"/>
    <col min="9229" max="9229" width="12.85546875" style="38" customWidth="1"/>
    <col min="9230" max="9473" width="9.140625" style="38"/>
    <col min="9474" max="9474" width="5.5703125" style="38" customWidth="1"/>
    <col min="9475" max="9475" width="9.140625" style="38"/>
    <col min="9476" max="9476" width="10.28515625" style="38" customWidth="1"/>
    <col min="9477" max="9477" width="15.42578125" style="38" customWidth="1"/>
    <col min="9478" max="9478" width="12" style="38" customWidth="1"/>
    <col min="9479" max="9479" width="11.7109375" style="38" bestFit="1" customWidth="1"/>
    <col min="9480" max="9480" width="9.140625" style="38"/>
    <col min="9481" max="9481" width="10" style="38" customWidth="1"/>
    <col min="9482" max="9482" width="15.28515625" style="38" customWidth="1"/>
    <col min="9483" max="9483" width="12.140625" style="38" customWidth="1"/>
    <col min="9484" max="9484" width="12.5703125" style="38" customWidth="1"/>
    <col min="9485" max="9485" width="12.85546875" style="38" customWidth="1"/>
    <col min="9486" max="9729" width="9.140625" style="38"/>
    <col min="9730" max="9730" width="5.5703125" style="38" customWidth="1"/>
    <col min="9731" max="9731" width="9.140625" style="38"/>
    <col min="9732" max="9732" width="10.28515625" style="38" customWidth="1"/>
    <col min="9733" max="9733" width="15.42578125" style="38" customWidth="1"/>
    <col min="9734" max="9734" width="12" style="38" customWidth="1"/>
    <col min="9735" max="9735" width="11.7109375" style="38" bestFit="1" customWidth="1"/>
    <col min="9736" max="9736" width="9.140625" style="38"/>
    <col min="9737" max="9737" width="10" style="38" customWidth="1"/>
    <col min="9738" max="9738" width="15.28515625" style="38" customWidth="1"/>
    <col min="9739" max="9739" width="12.140625" style="38" customWidth="1"/>
    <col min="9740" max="9740" width="12.5703125" style="38" customWidth="1"/>
    <col min="9741" max="9741" width="12.85546875" style="38" customWidth="1"/>
    <col min="9742" max="9985" width="9.140625" style="38"/>
    <col min="9986" max="9986" width="5.5703125" style="38" customWidth="1"/>
    <col min="9987" max="9987" width="9.140625" style="38"/>
    <col min="9988" max="9988" width="10.28515625" style="38" customWidth="1"/>
    <col min="9989" max="9989" width="15.42578125" style="38" customWidth="1"/>
    <col min="9990" max="9990" width="12" style="38" customWidth="1"/>
    <col min="9991" max="9991" width="11.7109375" style="38" bestFit="1" customWidth="1"/>
    <col min="9992" max="9992" width="9.140625" style="38"/>
    <col min="9993" max="9993" width="10" style="38" customWidth="1"/>
    <col min="9994" max="9994" width="15.28515625" style="38" customWidth="1"/>
    <col min="9995" max="9995" width="12.140625" style="38" customWidth="1"/>
    <col min="9996" max="9996" width="12.5703125" style="38" customWidth="1"/>
    <col min="9997" max="9997" width="12.85546875" style="38" customWidth="1"/>
    <col min="9998" max="10241" width="9.140625" style="38"/>
    <col min="10242" max="10242" width="5.5703125" style="38" customWidth="1"/>
    <col min="10243" max="10243" width="9.140625" style="38"/>
    <col min="10244" max="10244" width="10.28515625" style="38" customWidth="1"/>
    <col min="10245" max="10245" width="15.42578125" style="38" customWidth="1"/>
    <col min="10246" max="10246" width="12" style="38" customWidth="1"/>
    <col min="10247" max="10247" width="11.7109375" style="38" bestFit="1" customWidth="1"/>
    <col min="10248" max="10248" width="9.140625" style="38"/>
    <col min="10249" max="10249" width="10" style="38" customWidth="1"/>
    <col min="10250" max="10250" width="15.28515625" style="38" customWidth="1"/>
    <col min="10251" max="10251" width="12.140625" style="38" customWidth="1"/>
    <col min="10252" max="10252" width="12.5703125" style="38" customWidth="1"/>
    <col min="10253" max="10253" width="12.85546875" style="38" customWidth="1"/>
    <col min="10254" max="10497" width="9.140625" style="38"/>
    <col min="10498" max="10498" width="5.5703125" style="38" customWidth="1"/>
    <col min="10499" max="10499" width="9.140625" style="38"/>
    <col min="10500" max="10500" width="10.28515625" style="38" customWidth="1"/>
    <col min="10501" max="10501" width="15.42578125" style="38" customWidth="1"/>
    <col min="10502" max="10502" width="12" style="38" customWidth="1"/>
    <col min="10503" max="10503" width="11.7109375" style="38" bestFit="1" customWidth="1"/>
    <col min="10504" max="10504" width="9.140625" style="38"/>
    <col min="10505" max="10505" width="10" style="38" customWidth="1"/>
    <col min="10506" max="10506" width="15.28515625" style="38" customWidth="1"/>
    <col min="10507" max="10507" width="12.140625" style="38" customWidth="1"/>
    <col min="10508" max="10508" width="12.5703125" style="38" customWidth="1"/>
    <col min="10509" max="10509" width="12.85546875" style="38" customWidth="1"/>
    <col min="10510" max="10753" width="9.140625" style="38"/>
    <col min="10754" max="10754" width="5.5703125" style="38" customWidth="1"/>
    <col min="10755" max="10755" width="9.140625" style="38"/>
    <col min="10756" max="10756" width="10.28515625" style="38" customWidth="1"/>
    <col min="10757" max="10757" width="15.42578125" style="38" customWidth="1"/>
    <col min="10758" max="10758" width="12" style="38" customWidth="1"/>
    <col min="10759" max="10759" width="11.7109375" style="38" bestFit="1" customWidth="1"/>
    <col min="10760" max="10760" width="9.140625" style="38"/>
    <col min="10761" max="10761" width="10" style="38" customWidth="1"/>
    <col min="10762" max="10762" width="15.28515625" style="38" customWidth="1"/>
    <col min="10763" max="10763" width="12.140625" style="38" customWidth="1"/>
    <col min="10764" max="10764" width="12.5703125" style="38" customWidth="1"/>
    <col min="10765" max="10765" width="12.85546875" style="38" customWidth="1"/>
    <col min="10766" max="11009" width="9.140625" style="38"/>
    <col min="11010" max="11010" width="5.5703125" style="38" customWidth="1"/>
    <col min="11011" max="11011" width="9.140625" style="38"/>
    <col min="11012" max="11012" width="10.28515625" style="38" customWidth="1"/>
    <col min="11013" max="11013" width="15.42578125" style="38" customWidth="1"/>
    <col min="11014" max="11014" width="12" style="38" customWidth="1"/>
    <col min="11015" max="11015" width="11.7109375" style="38" bestFit="1" customWidth="1"/>
    <col min="11016" max="11016" width="9.140625" style="38"/>
    <col min="11017" max="11017" width="10" style="38" customWidth="1"/>
    <col min="11018" max="11018" width="15.28515625" style="38" customWidth="1"/>
    <col min="11019" max="11019" width="12.140625" style="38" customWidth="1"/>
    <col min="11020" max="11020" width="12.5703125" style="38" customWidth="1"/>
    <col min="11021" max="11021" width="12.85546875" style="38" customWidth="1"/>
    <col min="11022" max="11265" width="9.140625" style="38"/>
    <col min="11266" max="11266" width="5.5703125" style="38" customWidth="1"/>
    <col min="11267" max="11267" width="9.140625" style="38"/>
    <col min="11268" max="11268" width="10.28515625" style="38" customWidth="1"/>
    <col min="11269" max="11269" width="15.42578125" style="38" customWidth="1"/>
    <col min="11270" max="11270" width="12" style="38" customWidth="1"/>
    <col min="11271" max="11271" width="11.7109375" style="38" bestFit="1" customWidth="1"/>
    <col min="11272" max="11272" width="9.140625" style="38"/>
    <col min="11273" max="11273" width="10" style="38" customWidth="1"/>
    <col min="11274" max="11274" width="15.28515625" style="38" customWidth="1"/>
    <col min="11275" max="11275" width="12.140625" style="38" customWidth="1"/>
    <col min="11276" max="11276" width="12.5703125" style="38" customWidth="1"/>
    <col min="11277" max="11277" width="12.85546875" style="38" customWidth="1"/>
    <col min="11278" max="11521" width="9.140625" style="38"/>
    <col min="11522" max="11522" width="5.5703125" style="38" customWidth="1"/>
    <col min="11523" max="11523" width="9.140625" style="38"/>
    <col min="11524" max="11524" width="10.28515625" style="38" customWidth="1"/>
    <col min="11525" max="11525" width="15.42578125" style="38" customWidth="1"/>
    <col min="11526" max="11526" width="12" style="38" customWidth="1"/>
    <col min="11527" max="11527" width="11.7109375" style="38" bestFit="1" customWidth="1"/>
    <col min="11528" max="11528" width="9.140625" style="38"/>
    <col min="11529" max="11529" width="10" style="38" customWidth="1"/>
    <col min="11530" max="11530" width="15.28515625" style="38" customWidth="1"/>
    <col min="11531" max="11531" width="12.140625" style="38" customWidth="1"/>
    <col min="11532" max="11532" width="12.5703125" style="38" customWidth="1"/>
    <col min="11533" max="11533" width="12.85546875" style="38" customWidth="1"/>
    <col min="11534" max="11777" width="9.140625" style="38"/>
    <col min="11778" max="11778" width="5.5703125" style="38" customWidth="1"/>
    <col min="11779" max="11779" width="9.140625" style="38"/>
    <col min="11780" max="11780" width="10.28515625" style="38" customWidth="1"/>
    <col min="11781" max="11781" width="15.42578125" style="38" customWidth="1"/>
    <col min="11782" max="11782" width="12" style="38" customWidth="1"/>
    <col min="11783" max="11783" width="11.7109375" style="38" bestFit="1" customWidth="1"/>
    <col min="11784" max="11784" width="9.140625" style="38"/>
    <col min="11785" max="11785" width="10" style="38" customWidth="1"/>
    <col min="11786" max="11786" width="15.28515625" style="38" customWidth="1"/>
    <col min="11787" max="11787" width="12.140625" style="38" customWidth="1"/>
    <col min="11788" max="11788" width="12.5703125" style="38" customWidth="1"/>
    <col min="11789" max="11789" width="12.85546875" style="38" customWidth="1"/>
    <col min="11790" max="12033" width="9.140625" style="38"/>
    <col min="12034" max="12034" width="5.5703125" style="38" customWidth="1"/>
    <col min="12035" max="12035" width="9.140625" style="38"/>
    <col min="12036" max="12036" width="10.28515625" style="38" customWidth="1"/>
    <col min="12037" max="12037" width="15.42578125" style="38" customWidth="1"/>
    <col min="12038" max="12038" width="12" style="38" customWidth="1"/>
    <col min="12039" max="12039" width="11.7109375" style="38" bestFit="1" customWidth="1"/>
    <col min="12040" max="12040" width="9.140625" style="38"/>
    <col min="12041" max="12041" width="10" style="38" customWidth="1"/>
    <col min="12042" max="12042" width="15.28515625" style="38" customWidth="1"/>
    <col min="12043" max="12043" width="12.140625" style="38" customWidth="1"/>
    <col min="12044" max="12044" width="12.5703125" style="38" customWidth="1"/>
    <col min="12045" max="12045" width="12.85546875" style="38" customWidth="1"/>
    <col min="12046" max="12289" width="9.140625" style="38"/>
    <col min="12290" max="12290" width="5.5703125" style="38" customWidth="1"/>
    <col min="12291" max="12291" width="9.140625" style="38"/>
    <col min="12292" max="12292" width="10.28515625" style="38" customWidth="1"/>
    <col min="12293" max="12293" width="15.42578125" style="38" customWidth="1"/>
    <col min="12294" max="12294" width="12" style="38" customWidth="1"/>
    <col min="12295" max="12295" width="11.7109375" style="38" bestFit="1" customWidth="1"/>
    <col min="12296" max="12296" width="9.140625" style="38"/>
    <col min="12297" max="12297" width="10" style="38" customWidth="1"/>
    <col min="12298" max="12298" width="15.28515625" style="38" customWidth="1"/>
    <col min="12299" max="12299" width="12.140625" style="38" customWidth="1"/>
    <col min="12300" max="12300" width="12.5703125" style="38" customWidth="1"/>
    <col min="12301" max="12301" width="12.85546875" style="38" customWidth="1"/>
    <col min="12302" max="12545" width="9.140625" style="38"/>
    <col min="12546" max="12546" width="5.5703125" style="38" customWidth="1"/>
    <col min="12547" max="12547" width="9.140625" style="38"/>
    <col min="12548" max="12548" width="10.28515625" style="38" customWidth="1"/>
    <col min="12549" max="12549" width="15.42578125" style="38" customWidth="1"/>
    <col min="12550" max="12550" width="12" style="38" customWidth="1"/>
    <col min="12551" max="12551" width="11.7109375" style="38" bestFit="1" customWidth="1"/>
    <col min="12552" max="12552" width="9.140625" style="38"/>
    <col min="12553" max="12553" width="10" style="38" customWidth="1"/>
    <col min="12554" max="12554" width="15.28515625" style="38" customWidth="1"/>
    <col min="12555" max="12555" width="12.140625" style="38" customWidth="1"/>
    <col min="12556" max="12556" width="12.5703125" style="38" customWidth="1"/>
    <col min="12557" max="12557" width="12.85546875" style="38" customWidth="1"/>
    <col min="12558" max="12801" width="9.140625" style="38"/>
    <col min="12802" max="12802" width="5.5703125" style="38" customWidth="1"/>
    <col min="12803" max="12803" width="9.140625" style="38"/>
    <col min="12804" max="12804" width="10.28515625" style="38" customWidth="1"/>
    <col min="12805" max="12805" width="15.42578125" style="38" customWidth="1"/>
    <col min="12806" max="12806" width="12" style="38" customWidth="1"/>
    <col min="12807" max="12807" width="11.7109375" style="38" bestFit="1" customWidth="1"/>
    <col min="12808" max="12808" width="9.140625" style="38"/>
    <col min="12809" max="12809" width="10" style="38" customWidth="1"/>
    <col min="12810" max="12810" width="15.28515625" style="38" customWidth="1"/>
    <col min="12811" max="12811" width="12.140625" style="38" customWidth="1"/>
    <col min="12812" max="12812" width="12.5703125" style="38" customWidth="1"/>
    <col min="12813" max="12813" width="12.85546875" style="38" customWidth="1"/>
    <col min="12814" max="13057" width="9.140625" style="38"/>
    <col min="13058" max="13058" width="5.5703125" style="38" customWidth="1"/>
    <col min="13059" max="13059" width="9.140625" style="38"/>
    <col min="13060" max="13060" width="10.28515625" style="38" customWidth="1"/>
    <col min="13061" max="13061" width="15.42578125" style="38" customWidth="1"/>
    <col min="13062" max="13062" width="12" style="38" customWidth="1"/>
    <col min="13063" max="13063" width="11.7109375" style="38" bestFit="1" customWidth="1"/>
    <col min="13064" max="13064" width="9.140625" style="38"/>
    <col min="13065" max="13065" width="10" style="38" customWidth="1"/>
    <col min="13066" max="13066" width="15.28515625" style="38" customWidth="1"/>
    <col min="13067" max="13067" width="12.140625" style="38" customWidth="1"/>
    <col min="13068" max="13068" width="12.5703125" style="38" customWidth="1"/>
    <col min="13069" max="13069" width="12.85546875" style="38" customWidth="1"/>
    <col min="13070" max="13313" width="9.140625" style="38"/>
    <col min="13314" max="13314" width="5.5703125" style="38" customWidth="1"/>
    <col min="13315" max="13315" width="9.140625" style="38"/>
    <col min="13316" max="13316" width="10.28515625" style="38" customWidth="1"/>
    <col min="13317" max="13317" width="15.42578125" style="38" customWidth="1"/>
    <col min="13318" max="13318" width="12" style="38" customWidth="1"/>
    <col min="13319" max="13319" width="11.7109375" style="38" bestFit="1" customWidth="1"/>
    <col min="13320" max="13320" width="9.140625" style="38"/>
    <col min="13321" max="13321" width="10" style="38" customWidth="1"/>
    <col min="13322" max="13322" width="15.28515625" style="38" customWidth="1"/>
    <col min="13323" max="13323" width="12.140625" style="38" customWidth="1"/>
    <col min="13324" max="13324" width="12.5703125" style="38" customWidth="1"/>
    <col min="13325" max="13325" width="12.85546875" style="38" customWidth="1"/>
    <col min="13326" max="13569" width="9.140625" style="38"/>
    <col min="13570" max="13570" width="5.5703125" style="38" customWidth="1"/>
    <col min="13571" max="13571" width="9.140625" style="38"/>
    <col min="13572" max="13572" width="10.28515625" style="38" customWidth="1"/>
    <col min="13573" max="13573" width="15.42578125" style="38" customWidth="1"/>
    <col min="13574" max="13574" width="12" style="38" customWidth="1"/>
    <col min="13575" max="13575" width="11.7109375" style="38" bestFit="1" customWidth="1"/>
    <col min="13576" max="13576" width="9.140625" style="38"/>
    <col min="13577" max="13577" width="10" style="38" customWidth="1"/>
    <col min="13578" max="13578" width="15.28515625" style="38" customWidth="1"/>
    <col min="13579" max="13579" width="12.140625" style="38" customWidth="1"/>
    <col min="13580" max="13580" width="12.5703125" style="38" customWidth="1"/>
    <col min="13581" max="13581" width="12.85546875" style="38" customWidth="1"/>
    <col min="13582" max="13825" width="9.140625" style="38"/>
    <col min="13826" max="13826" width="5.5703125" style="38" customWidth="1"/>
    <col min="13827" max="13827" width="9.140625" style="38"/>
    <col min="13828" max="13828" width="10.28515625" style="38" customWidth="1"/>
    <col min="13829" max="13829" width="15.42578125" style="38" customWidth="1"/>
    <col min="13830" max="13830" width="12" style="38" customWidth="1"/>
    <col min="13831" max="13831" width="11.7109375" style="38" bestFit="1" customWidth="1"/>
    <col min="13832" max="13832" width="9.140625" style="38"/>
    <col min="13833" max="13833" width="10" style="38" customWidth="1"/>
    <col min="13834" max="13834" width="15.28515625" style="38" customWidth="1"/>
    <col min="13835" max="13835" width="12.140625" style="38" customWidth="1"/>
    <col min="13836" max="13836" width="12.5703125" style="38" customWidth="1"/>
    <col min="13837" max="13837" width="12.85546875" style="38" customWidth="1"/>
    <col min="13838" max="14081" width="9.140625" style="38"/>
    <col min="14082" max="14082" width="5.5703125" style="38" customWidth="1"/>
    <col min="14083" max="14083" width="9.140625" style="38"/>
    <col min="14084" max="14084" width="10.28515625" style="38" customWidth="1"/>
    <col min="14085" max="14085" width="15.42578125" style="38" customWidth="1"/>
    <col min="14086" max="14086" width="12" style="38" customWidth="1"/>
    <col min="14087" max="14087" width="11.7109375" style="38" bestFit="1" customWidth="1"/>
    <col min="14088" max="14088" width="9.140625" style="38"/>
    <col min="14089" max="14089" width="10" style="38" customWidth="1"/>
    <col min="14090" max="14090" width="15.28515625" style="38" customWidth="1"/>
    <col min="14091" max="14091" width="12.140625" style="38" customWidth="1"/>
    <col min="14092" max="14092" width="12.5703125" style="38" customWidth="1"/>
    <col min="14093" max="14093" width="12.85546875" style="38" customWidth="1"/>
    <col min="14094" max="14337" width="9.140625" style="38"/>
    <col min="14338" max="14338" width="5.5703125" style="38" customWidth="1"/>
    <col min="14339" max="14339" width="9.140625" style="38"/>
    <col min="14340" max="14340" width="10.28515625" style="38" customWidth="1"/>
    <col min="14341" max="14341" width="15.42578125" style="38" customWidth="1"/>
    <col min="14342" max="14342" width="12" style="38" customWidth="1"/>
    <col min="14343" max="14343" width="11.7109375" style="38" bestFit="1" customWidth="1"/>
    <col min="14344" max="14344" width="9.140625" style="38"/>
    <col min="14345" max="14345" width="10" style="38" customWidth="1"/>
    <col min="14346" max="14346" width="15.28515625" style="38" customWidth="1"/>
    <col min="14347" max="14347" width="12.140625" style="38" customWidth="1"/>
    <col min="14348" max="14348" width="12.5703125" style="38" customWidth="1"/>
    <col min="14349" max="14349" width="12.85546875" style="38" customWidth="1"/>
    <col min="14350" max="14593" width="9.140625" style="38"/>
    <col min="14594" max="14594" width="5.5703125" style="38" customWidth="1"/>
    <col min="14595" max="14595" width="9.140625" style="38"/>
    <col min="14596" max="14596" width="10.28515625" style="38" customWidth="1"/>
    <col min="14597" max="14597" width="15.42578125" style="38" customWidth="1"/>
    <col min="14598" max="14598" width="12" style="38" customWidth="1"/>
    <col min="14599" max="14599" width="11.7109375" style="38" bestFit="1" customWidth="1"/>
    <col min="14600" max="14600" width="9.140625" style="38"/>
    <col min="14601" max="14601" width="10" style="38" customWidth="1"/>
    <col min="14602" max="14602" width="15.28515625" style="38" customWidth="1"/>
    <col min="14603" max="14603" width="12.140625" style="38" customWidth="1"/>
    <col min="14604" max="14604" width="12.5703125" style="38" customWidth="1"/>
    <col min="14605" max="14605" width="12.85546875" style="38" customWidth="1"/>
    <col min="14606" max="14849" width="9.140625" style="38"/>
    <col min="14850" max="14850" width="5.5703125" style="38" customWidth="1"/>
    <col min="14851" max="14851" width="9.140625" style="38"/>
    <col min="14852" max="14852" width="10.28515625" style="38" customWidth="1"/>
    <col min="14853" max="14853" width="15.42578125" style="38" customWidth="1"/>
    <col min="14854" max="14854" width="12" style="38" customWidth="1"/>
    <col min="14855" max="14855" width="11.7109375" style="38" bestFit="1" customWidth="1"/>
    <col min="14856" max="14856" width="9.140625" style="38"/>
    <col min="14857" max="14857" width="10" style="38" customWidth="1"/>
    <col min="14858" max="14858" width="15.28515625" style="38" customWidth="1"/>
    <col min="14859" max="14859" width="12.140625" style="38" customWidth="1"/>
    <col min="14860" max="14860" width="12.5703125" style="38" customWidth="1"/>
    <col min="14861" max="14861" width="12.85546875" style="38" customWidth="1"/>
    <col min="14862" max="15105" width="9.140625" style="38"/>
    <col min="15106" max="15106" width="5.5703125" style="38" customWidth="1"/>
    <col min="15107" max="15107" width="9.140625" style="38"/>
    <col min="15108" max="15108" width="10.28515625" style="38" customWidth="1"/>
    <col min="15109" max="15109" width="15.42578125" style="38" customWidth="1"/>
    <col min="15110" max="15110" width="12" style="38" customWidth="1"/>
    <col min="15111" max="15111" width="11.7109375" style="38" bestFit="1" customWidth="1"/>
    <col min="15112" max="15112" width="9.140625" style="38"/>
    <col min="15113" max="15113" width="10" style="38" customWidth="1"/>
    <col min="15114" max="15114" width="15.28515625" style="38" customWidth="1"/>
    <col min="15115" max="15115" width="12.140625" style="38" customWidth="1"/>
    <col min="15116" max="15116" width="12.5703125" style="38" customWidth="1"/>
    <col min="15117" max="15117" width="12.85546875" style="38" customWidth="1"/>
    <col min="15118" max="15361" width="9.140625" style="38"/>
    <col min="15362" max="15362" width="5.5703125" style="38" customWidth="1"/>
    <col min="15363" max="15363" width="9.140625" style="38"/>
    <col min="15364" max="15364" width="10.28515625" style="38" customWidth="1"/>
    <col min="15365" max="15365" width="15.42578125" style="38" customWidth="1"/>
    <col min="15366" max="15366" width="12" style="38" customWidth="1"/>
    <col min="15367" max="15367" width="11.7109375" style="38" bestFit="1" customWidth="1"/>
    <col min="15368" max="15368" width="9.140625" style="38"/>
    <col min="15369" max="15369" width="10" style="38" customWidth="1"/>
    <col min="15370" max="15370" width="15.28515625" style="38" customWidth="1"/>
    <col min="15371" max="15371" width="12.140625" style="38" customWidth="1"/>
    <col min="15372" max="15372" width="12.5703125" style="38" customWidth="1"/>
    <col min="15373" max="15373" width="12.85546875" style="38" customWidth="1"/>
    <col min="15374" max="15617" width="9.140625" style="38"/>
    <col min="15618" max="15618" width="5.5703125" style="38" customWidth="1"/>
    <col min="15619" max="15619" width="9.140625" style="38"/>
    <col min="15620" max="15620" width="10.28515625" style="38" customWidth="1"/>
    <col min="15621" max="15621" width="15.42578125" style="38" customWidth="1"/>
    <col min="15622" max="15622" width="12" style="38" customWidth="1"/>
    <col min="15623" max="15623" width="11.7109375" style="38" bestFit="1" customWidth="1"/>
    <col min="15624" max="15624" width="9.140625" style="38"/>
    <col min="15625" max="15625" width="10" style="38" customWidth="1"/>
    <col min="15626" max="15626" width="15.28515625" style="38" customWidth="1"/>
    <col min="15627" max="15627" width="12.140625" style="38" customWidth="1"/>
    <col min="15628" max="15628" width="12.5703125" style="38" customWidth="1"/>
    <col min="15629" max="15629" width="12.85546875" style="38" customWidth="1"/>
    <col min="15630" max="15873" width="9.140625" style="38"/>
    <col min="15874" max="15874" width="5.5703125" style="38" customWidth="1"/>
    <col min="15875" max="15875" width="9.140625" style="38"/>
    <col min="15876" max="15876" width="10.28515625" style="38" customWidth="1"/>
    <col min="15877" max="15877" width="15.42578125" style="38" customWidth="1"/>
    <col min="15878" max="15878" width="12" style="38" customWidth="1"/>
    <col min="15879" max="15879" width="11.7109375" style="38" bestFit="1" customWidth="1"/>
    <col min="15880" max="15880" width="9.140625" style="38"/>
    <col min="15881" max="15881" width="10" style="38" customWidth="1"/>
    <col min="15882" max="15882" width="15.28515625" style="38" customWidth="1"/>
    <col min="15883" max="15883" width="12.140625" style="38" customWidth="1"/>
    <col min="15884" max="15884" width="12.5703125" style="38" customWidth="1"/>
    <col min="15885" max="15885" width="12.85546875" style="38" customWidth="1"/>
    <col min="15886" max="16129" width="9.140625" style="38"/>
    <col min="16130" max="16130" width="5.5703125" style="38" customWidth="1"/>
    <col min="16131" max="16131" width="9.140625" style="38"/>
    <col min="16132" max="16132" width="10.28515625" style="38" customWidth="1"/>
    <col min="16133" max="16133" width="15.42578125" style="38" customWidth="1"/>
    <col min="16134" max="16134" width="12" style="38" customWidth="1"/>
    <col min="16135" max="16135" width="11.7109375" style="38" bestFit="1" customWidth="1"/>
    <col min="16136" max="16136" width="9.140625" style="38"/>
    <col min="16137" max="16137" width="10" style="38" customWidth="1"/>
    <col min="16138" max="16138" width="15.28515625" style="38" customWidth="1"/>
    <col min="16139" max="16139" width="12.140625" style="38" customWidth="1"/>
    <col min="16140" max="16140" width="12.5703125" style="38" customWidth="1"/>
    <col min="16141" max="16141" width="12.85546875" style="38" customWidth="1"/>
    <col min="16142" max="16384" width="9.140625" style="38"/>
  </cols>
  <sheetData>
    <row r="1" spans="1:14" ht="45" customHeight="1" thickTop="1" thickBot="1" x14ac:dyDescent="0.25">
      <c r="A1" s="539" t="s">
        <v>54</v>
      </c>
      <c r="B1" s="539"/>
      <c r="C1" s="539"/>
      <c r="D1" s="539"/>
      <c r="E1" s="539"/>
      <c r="F1" s="539"/>
      <c r="G1" s="539"/>
      <c r="H1" s="539"/>
      <c r="I1" s="539"/>
      <c r="J1" s="540"/>
      <c r="K1" s="540"/>
      <c r="L1" s="540"/>
      <c r="M1" s="540"/>
      <c r="N1" s="539"/>
    </row>
    <row r="2" spans="1:14" ht="15" customHeight="1" thickTop="1" thickBot="1" x14ac:dyDescent="0.25">
      <c r="A2" s="543" t="s">
        <v>2</v>
      </c>
      <c r="B2" s="543" t="s">
        <v>0</v>
      </c>
      <c r="C2" s="543" t="s">
        <v>48</v>
      </c>
      <c r="D2" s="543" t="s">
        <v>37</v>
      </c>
      <c r="E2" s="543" t="s">
        <v>3</v>
      </c>
      <c r="F2" s="543" t="s">
        <v>117</v>
      </c>
      <c r="G2" s="544" t="s">
        <v>4</v>
      </c>
      <c r="H2" s="544" t="s">
        <v>5</v>
      </c>
      <c r="I2" s="522" t="s">
        <v>719</v>
      </c>
      <c r="J2" s="531" t="s">
        <v>749</v>
      </c>
      <c r="K2" s="182" t="s">
        <v>635</v>
      </c>
      <c r="L2" s="182" t="s">
        <v>638</v>
      </c>
      <c r="M2" s="224" t="s">
        <v>637</v>
      </c>
      <c r="N2" s="543" t="s">
        <v>35</v>
      </c>
    </row>
    <row r="3" spans="1:14" ht="23.25" customHeight="1" thickTop="1" thickBot="1" x14ac:dyDescent="0.25">
      <c r="A3" s="543"/>
      <c r="B3" s="543"/>
      <c r="C3" s="543"/>
      <c r="D3" s="543"/>
      <c r="E3" s="543"/>
      <c r="F3" s="543"/>
      <c r="G3" s="544"/>
      <c r="H3" s="544"/>
      <c r="I3" s="523"/>
      <c r="J3" s="531"/>
      <c r="K3" s="183"/>
      <c r="L3" s="183"/>
      <c r="M3" s="225"/>
      <c r="N3" s="543"/>
    </row>
    <row r="4" spans="1:14" ht="14.25" thickTop="1" thickBot="1" x14ac:dyDescent="0.25"/>
    <row r="5" spans="1:14" s="13" customFormat="1" ht="84.75" customHeight="1" thickTop="1" thickBot="1" x14ac:dyDescent="0.3">
      <c r="A5" s="98">
        <v>22</v>
      </c>
      <c r="B5" s="84" t="s">
        <v>26</v>
      </c>
      <c r="C5" s="84" t="s">
        <v>77</v>
      </c>
      <c r="D5" s="84" t="s">
        <v>186</v>
      </c>
      <c r="E5" s="102" t="s">
        <v>361</v>
      </c>
      <c r="F5" s="103">
        <v>6000000</v>
      </c>
      <c r="G5" s="99" t="s">
        <v>150</v>
      </c>
      <c r="H5" s="99" t="s">
        <v>149</v>
      </c>
      <c r="I5" s="84" t="s">
        <v>188</v>
      </c>
      <c r="J5" s="159" t="s">
        <v>687</v>
      </c>
      <c r="K5" s="158" t="s">
        <v>743</v>
      </c>
      <c r="L5" s="159" t="s">
        <v>641</v>
      </c>
      <c r="M5" s="222">
        <v>0</v>
      </c>
      <c r="N5" s="84" t="s">
        <v>181</v>
      </c>
    </row>
    <row r="6" spans="1:14" s="13" customFormat="1" ht="77.25" customHeight="1" thickTop="1" thickBot="1" x14ac:dyDescent="0.3">
      <c r="A6" s="98">
        <v>32</v>
      </c>
      <c r="B6" s="84" t="s">
        <v>26</v>
      </c>
      <c r="C6" s="102" t="s">
        <v>191</v>
      </c>
      <c r="D6" s="102" t="s">
        <v>209</v>
      </c>
      <c r="E6" s="102" t="s">
        <v>210</v>
      </c>
      <c r="F6" s="103">
        <v>800000</v>
      </c>
      <c r="G6" s="84" t="s">
        <v>150</v>
      </c>
      <c r="H6" s="84" t="s">
        <v>149</v>
      </c>
      <c r="I6" s="84" t="s">
        <v>211</v>
      </c>
      <c r="J6" s="159" t="s">
        <v>688</v>
      </c>
      <c r="K6" s="158" t="s">
        <v>743</v>
      </c>
      <c r="L6" s="159" t="s">
        <v>641</v>
      </c>
      <c r="M6" s="222">
        <v>0</v>
      </c>
      <c r="N6" s="84" t="s">
        <v>181</v>
      </c>
    </row>
    <row r="7" spans="1:14" s="13" customFormat="1" ht="65.25" thickTop="1" thickBot="1" x14ac:dyDescent="0.3">
      <c r="A7" s="98">
        <v>32</v>
      </c>
      <c r="B7" s="84" t="s">
        <v>26</v>
      </c>
      <c r="C7" s="102" t="s">
        <v>191</v>
      </c>
      <c r="D7" s="102" t="s">
        <v>212</v>
      </c>
      <c r="E7" s="102" t="s">
        <v>133</v>
      </c>
      <c r="F7" s="103">
        <v>800000</v>
      </c>
      <c r="G7" s="84" t="s">
        <v>150</v>
      </c>
      <c r="H7" s="84" t="s">
        <v>149</v>
      </c>
      <c r="I7" s="84" t="s">
        <v>211</v>
      </c>
      <c r="J7" s="159" t="s">
        <v>688</v>
      </c>
      <c r="K7" s="158" t="s">
        <v>743</v>
      </c>
      <c r="L7" s="159" t="s">
        <v>641</v>
      </c>
      <c r="M7" s="222">
        <v>0</v>
      </c>
      <c r="N7" s="84" t="s">
        <v>181</v>
      </c>
    </row>
    <row r="8" spans="1:14" s="13" customFormat="1" ht="65.25" thickTop="1" thickBot="1" x14ac:dyDescent="0.3">
      <c r="A8" s="98">
        <v>32</v>
      </c>
      <c r="B8" s="84" t="s">
        <v>26</v>
      </c>
      <c r="C8" s="102" t="s">
        <v>191</v>
      </c>
      <c r="D8" s="102" t="s">
        <v>396</v>
      </c>
      <c r="E8" s="102" t="s">
        <v>340</v>
      </c>
      <c r="F8" s="103">
        <v>800000</v>
      </c>
      <c r="G8" s="84" t="s">
        <v>150</v>
      </c>
      <c r="H8" s="84" t="s">
        <v>149</v>
      </c>
      <c r="I8" s="84" t="s">
        <v>211</v>
      </c>
      <c r="J8" s="159" t="s">
        <v>688</v>
      </c>
      <c r="K8" s="158" t="s">
        <v>743</v>
      </c>
      <c r="L8" s="159" t="s">
        <v>641</v>
      </c>
      <c r="M8" s="222">
        <v>0</v>
      </c>
      <c r="N8" s="84" t="s">
        <v>181</v>
      </c>
    </row>
    <row r="9" spans="1:14" s="13" customFormat="1" ht="65.25" thickTop="1" thickBot="1" x14ac:dyDescent="0.3">
      <c r="A9" s="98">
        <v>32</v>
      </c>
      <c r="B9" s="84" t="s">
        <v>26</v>
      </c>
      <c r="C9" s="102" t="s">
        <v>191</v>
      </c>
      <c r="D9" s="102" t="s">
        <v>213</v>
      </c>
      <c r="E9" s="102" t="s">
        <v>214</v>
      </c>
      <c r="F9" s="103">
        <v>800000</v>
      </c>
      <c r="G9" s="84" t="s">
        <v>150</v>
      </c>
      <c r="H9" s="84" t="s">
        <v>149</v>
      </c>
      <c r="I9" s="84" t="s">
        <v>211</v>
      </c>
      <c r="J9" s="159" t="s">
        <v>688</v>
      </c>
      <c r="K9" s="158" t="s">
        <v>743</v>
      </c>
      <c r="L9" s="159" t="s">
        <v>641</v>
      </c>
      <c r="M9" s="222">
        <v>0</v>
      </c>
      <c r="N9" s="84" t="s">
        <v>181</v>
      </c>
    </row>
    <row r="10" spans="1:14" s="13" customFormat="1" ht="78" thickTop="1" thickBot="1" x14ac:dyDescent="0.3">
      <c r="A10" s="98">
        <v>32</v>
      </c>
      <c r="B10" s="84" t="s">
        <v>26</v>
      </c>
      <c r="C10" s="102" t="s">
        <v>191</v>
      </c>
      <c r="D10" s="102" t="s">
        <v>215</v>
      </c>
      <c r="E10" s="102" t="s">
        <v>216</v>
      </c>
      <c r="F10" s="103">
        <v>800000</v>
      </c>
      <c r="G10" s="84" t="s">
        <v>150</v>
      </c>
      <c r="H10" s="84" t="s">
        <v>149</v>
      </c>
      <c r="I10" s="84" t="s">
        <v>211</v>
      </c>
      <c r="J10" s="159" t="s">
        <v>688</v>
      </c>
      <c r="K10" s="158" t="s">
        <v>743</v>
      </c>
      <c r="L10" s="159" t="s">
        <v>641</v>
      </c>
      <c r="M10" s="222">
        <v>0</v>
      </c>
      <c r="N10" s="84" t="s">
        <v>181</v>
      </c>
    </row>
    <row r="11" spans="1:14" s="13" customFormat="1" ht="65.25" thickTop="1" thickBot="1" x14ac:dyDescent="0.3">
      <c r="A11" s="98">
        <v>32</v>
      </c>
      <c r="B11" s="84" t="s">
        <v>26</v>
      </c>
      <c r="C11" s="102" t="s">
        <v>191</v>
      </c>
      <c r="D11" s="102" t="s">
        <v>217</v>
      </c>
      <c r="E11" s="102" t="s">
        <v>134</v>
      </c>
      <c r="F11" s="103">
        <v>800000</v>
      </c>
      <c r="G11" s="84" t="s">
        <v>150</v>
      </c>
      <c r="H11" s="84" t="s">
        <v>149</v>
      </c>
      <c r="I11" s="84" t="s">
        <v>211</v>
      </c>
      <c r="J11" s="159" t="s">
        <v>688</v>
      </c>
      <c r="K11" s="158" t="s">
        <v>743</v>
      </c>
      <c r="L11" s="159" t="s">
        <v>641</v>
      </c>
      <c r="M11" s="222">
        <v>0</v>
      </c>
      <c r="N11" s="84" t="s">
        <v>181</v>
      </c>
    </row>
    <row r="12" spans="1:14" s="13" customFormat="1" ht="65.25" thickTop="1" thickBot="1" x14ac:dyDescent="0.3">
      <c r="A12" s="98">
        <v>32</v>
      </c>
      <c r="B12" s="84" t="s">
        <v>26</v>
      </c>
      <c r="C12" s="102" t="s">
        <v>191</v>
      </c>
      <c r="D12" s="102" t="s">
        <v>218</v>
      </c>
      <c r="E12" s="102" t="s">
        <v>219</v>
      </c>
      <c r="F12" s="103">
        <v>800000</v>
      </c>
      <c r="G12" s="84" t="s">
        <v>150</v>
      </c>
      <c r="H12" s="84" t="s">
        <v>149</v>
      </c>
      <c r="I12" s="84" t="s">
        <v>211</v>
      </c>
      <c r="J12" s="159" t="s">
        <v>688</v>
      </c>
      <c r="K12" s="158" t="s">
        <v>743</v>
      </c>
      <c r="L12" s="159" t="s">
        <v>641</v>
      </c>
      <c r="M12" s="222">
        <v>0</v>
      </c>
      <c r="N12" s="84" t="s">
        <v>181</v>
      </c>
    </row>
    <row r="13" spans="1:14" s="94" customFormat="1" ht="71.25" customHeight="1" thickTop="1" thickBot="1" x14ac:dyDescent="0.3">
      <c r="A13" s="98">
        <v>22</v>
      </c>
      <c r="B13" s="84" t="s">
        <v>28</v>
      </c>
      <c r="C13" s="84" t="s">
        <v>47</v>
      </c>
      <c r="D13" s="84" t="s">
        <v>300</v>
      </c>
      <c r="E13" s="84" t="s">
        <v>301</v>
      </c>
      <c r="F13" s="84">
        <v>200000</v>
      </c>
      <c r="G13" s="84" t="s">
        <v>150</v>
      </c>
      <c r="H13" s="84" t="s">
        <v>149</v>
      </c>
      <c r="I13" s="84" t="s">
        <v>302</v>
      </c>
      <c r="J13" s="159" t="s">
        <v>689</v>
      </c>
      <c r="K13" s="159" t="s">
        <v>640</v>
      </c>
      <c r="L13" s="159" t="s">
        <v>640</v>
      </c>
      <c r="M13" s="222">
        <v>14792</v>
      </c>
      <c r="N13" s="84" t="s">
        <v>14</v>
      </c>
    </row>
    <row r="14" spans="1:14" s="94" customFormat="1" ht="132" customHeight="1" thickTop="1" thickBot="1" x14ac:dyDescent="0.3">
      <c r="A14" s="98">
        <v>22</v>
      </c>
      <c r="B14" s="84" t="s">
        <v>28</v>
      </c>
      <c r="C14" s="84" t="s">
        <v>47</v>
      </c>
      <c r="D14" s="84" t="s">
        <v>303</v>
      </c>
      <c r="E14" s="84" t="s">
        <v>80</v>
      </c>
      <c r="F14" s="84">
        <v>150000</v>
      </c>
      <c r="G14" s="84" t="s">
        <v>150</v>
      </c>
      <c r="H14" s="84" t="s">
        <v>149</v>
      </c>
      <c r="I14" s="84" t="s">
        <v>93</v>
      </c>
      <c r="J14" s="159" t="s">
        <v>690</v>
      </c>
      <c r="K14" s="159" t="s">
        <v>640</v>
      </c>
      <c r="L14" s="159" t="s">
        <v>640</v>
      </c>
      <c r="M14" s="222">
        <v>0</v>
      </c>
      <c r="N14" s="84" t="s">
        <v>14</v>
      </c>
    </row>
    <row r="15" spans="1:14" s="94" customFormat="1" ht="92.25" customHeight="1" thickTop="1" thickBot="1" x14ac:dyDescent="0.3">
      <c r="A15" s="98">
        <v>22</v>
      </c>
      <c r="B15" s="84" t="s">
        <v>28</v>
      </c>
      <c r="C15" s="84" t="s">
        <v>47</v>
      </c>
      <c r="D15" s="84" t="s">
        <v>304</v>
      </c>
      <c r="E15" s="84" t="s">
        <v>305</v>
      </c>
      <c r="F15" s="84">
        <v>400000</v>
      </c>
      <c r="G15" s="84" t="s">
        <v>150</v>
      </c>
      <c r="H15" s="84" t="s">
        <v>149</v>
      </c>
      <c r="I15" s="84" t="s">
        <v>306</v>
      </c>
      <c r="J15" s="159" t="s">
        <v>765</v>
      </c>
      <c r="K15" s="159" t="s">
        <v>766</v>
      </c>
      <c r="L15" s="159" t="s">
        <v>767</v>
      </c>
      <c r="M15" s="222">
        <v>0</v>
      </c>
      <c r="N15" s="84" t="s">
        <v>14</v>
      </c>
    </row>
    <row r="16" spans="1:14" s="95" customFormat="1" ht="64.5" customHeight="1" thickTop="1" thickBot="1" x14ac:dyDescent="0.25">
      <c r="A16" s="98">
        <v>22</v>
      </c>
      <c r="B16" s="84" t="s">
        <v>28</v>
      </c>
      <c r="C16" s="84" t="s">
        <v>307</v>
      </c>
      <c r="D16" s="84" t="s">
        <v>314</v>
      </c>
      <c r="E16" s="84" t="s">
        <v>315</v>
      </c>
      <c r="F16" s="84">
        <v>60000</v>
      </c>
      <c r="G16" s="84" t="s">
        <v>150</v>
      </c>
      <c r="H16" s="84" t="s">
        <v>149</v>
      </c>
      <c r="I16" s="84" t="s">
        <v>92</v>
      </c>
      <c r="J16" s="159" t="s">
        <v>762</v>
      </c>
      <c r="K16" s="158" t="s">
        <v>743</v>
      </c>
      <c r="L16" s="159" t="s">
        <v>763</v>
      </c>
      <c r="M16" s="222">
        <v>6000</v>
      </c>
      <c r="N16" s="84" t="s">
        <v>181</v>
      </c>
    </row>
    <row r="17" spans="1:14" s="95" customFormat="1" ht="80.25" customHeight="1" thickTop="1" thickBot="1" x14ac:dyDescent="0.25">
      <c r="A17" s="98">
        <v>22</v>
      </c>
      <c r="B17" s="84" t="s">
        <v>28</v>
      </c>
      <c r="C17" s="84" t="s">
        <v>307</v>
      </c>
      <c r="D17" s="84" t="s">
        <v>316</v>
      </c>
      <c r="E17" s="84" t="s">
        <v>317</v>
      </c>
      <c r="F17" s="84">
        <v>60000</v>
      </c>
      <c r="G17" s="84" t="s">
        <v>150</v>
      </c>
      <c r="H17" s="84" t="s">
        <v>149</v>
      </c>
      <c r="I17" s="84" t="s">
        <v>318</v>
      </c>
      <c r="J17" s="159" t="s">
        <v>764</v>
      </c>
      <c r="K17" s="159" t="s">
        <v>766</v>
      </c>
      <c r="L17" s="159" t="s">
        <v>767</v>
      </c>
      <c r="M17" s="222">
        <v>0</v>
      </c>
      <c r="N17" s="84" t="s">
        <v>14</v>
      </c>
    </row>
    <row r="18" spans="1:14" s="95" customFormat="1" ht="67.5" customHeight="1" thickTop="1" thickBot="1" x14ac:dyDescent="0.25">
      <c r="A18" s="98">
        <v>22</v>
      </c>
      <c r="B18" s="84" t="s">
        <v>28</v>
      </c>
      <c r="C18" s="84" t="s">
        <v>307</v>
      </c>
      <c r="D18" s="84" t="s">
        <v>325</v>
      </c>
      <c r="E18" s="84" t="s">
        <v>319</v>
      </c>
      <c r="F18" s="84">
        <v>400000</v>
      </c>
      <c r="G18" s="84" t="s">
        <v>150</v>
      </c>
      <c r="H18" s="84" t="s">
        <v>149</v>
      </c>
      <c r="I18" s="84" t="s">
        <v>92</v>
      </c>
      <c r="J18" s="159" t="s">
        <v>691</v>
      </c>
      <c r="K18" s="159" t="s">
        <v>1</v>
      </c>
      <c r="L18" s="159" t="s">
        <v>1</v>
      </c>
      <c r="M18" s="222">
        <v>0</v>
      </c>
      <c r="N18" s="84" t="s">
        <v>181</v>
      </c>
    </row>
    <row r="19" spans="1:14" s="95" customFormat="1" ht="94.5" customHeight="1" thickTop="1" thickBot="1" x14ac:dyDescent="0.25">
      <c r="A19" s="98">
        <v>22</v>
      </c>
      <c r="B19" s="84" t="s">
        <v>28</v>
      </c>
      <c r="C19" s="84" t="s">
        <v>307</v>
      </c>
      <c r="D19" s="84" t="s">
        <v>326</v>
      </c>
      <c r="E19" s="84" t="s">
        <v>320</v>
      </c>
      <c r="F19" s="84">
        <v>400000</v>
      </c>
      <c r="G19" s="84" t="s">
        <v>150</v>
      </c>
      <c r="H19" s="84" t="s">
        <v>149</v>
      </c>
      <c r="I19" s="84" t="s">
        <v>321</v>
      </c>
      <c r="J19" s="159" t="s">
        <v>768</v>
      </c>
      <c r="K19" s="159" t="s">
        <v>640</v>
      </c>
      <c r="L19" s="159" t="s">
        <v>769</v>
      </c>
      <c r="M19" s="222">
        <v>0</v>
      </c>
      <c r="N19" s="84" t="s">
        <v>14</v>
      </c>
    </row>
    <row r="20" spans="1:14" s="95" customFormat="1" ht="87.75" customHeight="1" thickTop="1" thickBot="1" x14ac:dyDescent="0.25">
      <c r="A20" s="98">
        <v>22</v>
      </c>
      <c r="B20" s="84" t="s">
        <v>28</v>
      </c>
      <c r="C20" s="84" t="s">
        <v>307</v>
      </c>
      <c r="D20" s="84" t="s">
        <v>555</v>
      </c>
      <c r="E20" s="84" t="s">
        <v>322</v>
      </c>
      <c r="F20" s="84">
        <v>120000</v>
      </c>
      <c r="G20" s="84" t="s">
        <v>150</v>
      </c>
      <c r="H20" s="84" t="s">
        <v>535</v>
      </c>
      <c r="I20" s="84" t="s">
        <v>323</v>
      </c>
      <c r="J20" s="159" t="s">
        <v>692</v>
      </c>
      <c r="K20" s="159" t="s">
        <v>1</v>
      </c>
      <c r="L20" s="159" t="s">
        <v>1</v>
      </c>
      <c r="M20" s="222">
        <v>192051</v>
      </c>
      <c r="N20" s="84" t="s">
        <v>14</v>
      </c>
    </row>
    <row r="21" spans="1:14" s="112" customFormat="1" ht="68.25" customHeight="1" thickTop="1" thickBot="1" x14ac:dyDescent="0.25">
      <c r="A21" s="98">
        <v>22</v>
      </c>
      <c r="B21" s="84" t="s">
        <v>28</v>
      </c>
      <c r="C21" s="84" t="s">
        <v>307</v>
      </c>
      <c r="D21" s="84" t="s">
        <v>327</v>
      </c>
      <c r="E21" s="84" t="s">
        <v>324</v>
      </c>
      <c r="F21" s="84">
        <v>400000</v>
      </c>
      <c r="G21" s="84" t="s">
        <v>150</v>
      </c>
      <c r="H21" s="84" t="s">
        <v>535</v>
      </c>
      <c r="I21" s="84" t="s">
        <v>92</v>
      </c>
      <c r="J21" s="159" t="s">
        <v>691</v>
      </c>
      <c r="K21" s="159" t="s">
        <v>1</v>
      </c>
      <c r="L21" s="159" t="s">
        <v>1</v>
      </c>
      <c r="M21" s="222">
        <v>0</v>
      </c>
      <c r="N21" s="84" t="s">
        <v>181</v>
      </c>
    </row>
    <row r="22" spans="1:14" ht="99.75" customHeight="1" thickTop="1" thickBot="1" x14ac:dyDescent="0.25">
      <c r="A22" s="98">
        <v>34</v>
      </c>
      <c r="B22" s="84" t="s">
        <v>28</v>
      </c>
      <c r="C22" s="84" t="s">
        <v>62</v>
      </c>
      <c r="D22" s="84" t="s">
        <v>523</v>
      </c>
      <c r="E22" s="84" t="s">
        <v>292</v>
      </c>
      <c r="F22" s="87">
        <v>100000</v>
      </c>
      <c r="G22" s="84" t="s">
        <v>150</v>
      </c>
      <c r="H22" s="84" t="s">
        <v>535</v>
      </c>
      <c r="I22" s="84" t="s">
        <v>95</v>
      </c>
      <c r="J22" s="157" t="s">
        <v>693</v>
      </c>
      <c r="K22" s="158" t="s">
        <v>694</v>
      </c>
      <c r="L22" s="157" t="s">
        <v>695</v>
      </c>
      <c r="M22" s="222">
        <v>0</v>
      </c>
      <c r="N22" s="84" t="s">
        <v>27</v>
      </c>
    </row>
    <row r="23" spans="1:14" ht="84.75" customHeight="1" thickTop="1" thickBot="1" x14ac:dyDescent="0.25">
      <c r="A23" s="98">
        <v>34</v>
      </c>
      <c r="B23" s="84" t="s">
        <v>28</v>
      </c>
      <c r="C23" s="84" t="s">
        <v>62</v>
      </c>
      <c r="D23" s="84" t="s">
        <v>556</v>
      </c>
      <c r="E23" s="84" t="s">
        <v>293</v>
      </c>
      <c r="F23" s="87">
        <v>120000</v>
      </c>
      <c r="G23" s="84" t="s">
        <v>150</v>
      </c>
      <c r="H23" s="84" t="s">
        <v>158</v>
      </c>
      <c r="I23" s="84" t="s">
        <v>557</v>
      </c>
      <c r="J23" s="159" t="s">
        <v>815</v>
      </c>
      <c r="K23" s="159" t="s">
        <v>1</v>
      </c>
      <c r="L23" s="159" t="s">
        <v>1</v>
      </c>
      <c r="M23" s="222">
        <v>0</v>
      </c>
      <c r="N23" s="84" t="s">
        <v>27</v>
      </c>
    </row>
    <row r="24" spans="1:14" ht="108" customHeight="1" thickTop="1" thickBot="1" x14ac:dyDescent="0.25">
      <c r="A24" s="98">
        <v>34</v>
      </c>
      <c r="B24" s="84" t="s">
        <v>28</v>
      </c>
      <c r="C24" s="84" t="s">
        <v>62</v>
      </c>
      <c r="D24" s="84" t="s">
        <v>294</v>
      </c>
      <c r="E24" s="84" t="s">
        <v>295</v>
      </c>
      <c r="F24" s="87">
        <v>200000</v>
      </c>
      <c r="G24" s="84" t="s">
        <v>150</v>
      </c>
      <c r="H24" s="84" t="s">
        <v>149</v>
      </c>
      <c r="I24" s="84" t="s">
        <v>296</v>
      </c>
      <c r="J24" s="159" t="s">
        <v>696</v>
      </c>
      <c r="K24" s="159" t="s">
        <v>1</v>
      </c>
      <c r="L24" s="159" t="s">
        <v>1</v>
      </c>
      <c r="M24" s="222" t="s">
        <v>662</v>
      </c>
      <c r="N24" s="84" t="s">
        <v>27</v>
      </c>
    </row>
    <row r="25" spans="1:14" s="23" customFormat="1" ht="79.5" customHeight="1" thickTop="1" thickBot="1" x14ac:dyDescent="0.3">
      <c r="A25" s="98">
        <v>34</v>
      </c>
      <c r="B25" s="84" t="s">
        <v>28</v>
      </c>
      <c r="C25" s="84" t="s">
        <v>62</v>
      </c>
      <c r="D25" s="84" t="s">
        <v>558</v>
      </c>
      <c r="E25" s="84" t="s">
        <v>297</v>
      </c>
      <c r="F25" s="87">
        <v>150000</v>
      </c>
      <c r="G25" s="84" t="s">
        <v>150</v>
      </c>
      <c r="H25" s="84" t="s">
        <v>158</v>
      </c>
      <c r="I25" s="84" t="s">
        <v>96</v>
      </c>
      <c r="J25" s="159" t="s">
        <v>697</v>
      </c>
      <c r="K25" s="159" t="s">
        <v>1</v>
      </c>
      <c r="L25" s="159" t="s">
        <v>1</v>
      </c>
      <c r="M25" s="222" t="s">
        <v>661</v>
      </c>
      <c r="N25" s="84" t="s">
        <v>27</v>
      </c>
    </row>
    <row r="26" spans="1:14" s="23" customFormat="1" ht="73.5" customHeight="1" thickTop="1" thickBot="1" x14ac:dyDescent="0.3">
      <c r="A26" s="98">
        <v>34</v>
      </c>
      <c r="B26" s="84" t="s">
        <v>28</v>
      </c>
      <c r="C26" s="84" t="s">
        <v>62</v>
      </c>
      <c r="D26" s="84" t="s">
        <v>559</v>
      </c>
      <c r="E26" s="84" t="s">
        <v>431</v>
      </c>
      <c r="F26" s="87">
        <v>100000</v>
      </c>
      <c r="G26" s="84" t="s">
        <v>150</v>
      </c>
      <c r="H26" s="84" t="s">
        <v>158</v>
      </c>
      <c r="I26" s="84" t="s">
        <v>78</v>
      </c>
      <c r="J26" s="159" t="s">
        <v>698</v>
      </c>
      <c r="K26" s="159" t="s">
        <v>770</v>
      </c>
      <c r="L26" s="159" t="s">
        <v>660</v>
      </c>
      <c r="M26" s="222" t="s">
        <v>653</v>
      </c>
      <c r="N26" s="84" t="s">
        <v>27</v>
      </c>
    </row>
    <row r="27" spans="1:14" s="94" customFormat="1" ht="130.5" customHeight="1" thickTop="1" thickBot="1" x14ac:dyDescent="0.3">
      <c r="A27" s="104">
        <v>22</v>
      </c>
      <c r="B27" s="84" t="s">
        <v>28</v>
      </c>
      <c r="C27" s="84" t="s">
        <v>77</v>
      </c>
      <c r="D27" s="84" t="s">
        <v>561</v>
      </c>
      <c r="E27" s="84" t="s">
        <v>341</v>
      </c>
      <c r="F27" s="84">
        <v>700000</v>
      </c>
      <c r="G27" s="84" t="s">
        <v>150</v>
      </c>
      <c r="H27" s="84" t="s">
        <v>158</v>
      </c>
      <c r="I27" s="84" t="s">
        <v>560</v>
      </c>
      <c r="J27" s="159" t="s">
        <v>699</v>
      </c>
      <c r="K27" s="158" t="s">
        <v>743</v>
      </c>
      <c r="L27" s="159" t="s">
        <v>641</v>
      </c>
      <c r="M27" s="222">
        <v>178100</v>
      </c>
      <c r="N27" s="84" t="s">
        <v>181</v>
      </c>
    </row>
    <row r="28" spans="1:14" s="94" customFormat="1" ht="125.25" customHeight="1" thickTop="1" thickBot="1" x14ac:dyDescent="0.3">
      <c r="A28" s="98">
        <v>22</v>
      </c>
      <c r="B28" s="84" t="s">
        <v>28</v>
      </c>
      <c r="C28" s="84" t="s">
        <v>77</v>
      </c>
      <c r="D28" s="84" t="s">
        <v>562</v>
      </c>
      <c r="E28" s="84" t="s">
        <v>299</v>
      </c>
      <c r="F28" s="84">
        <v>600000</v>
      </c>
      <c r="G28" s="84" t="s">
        <v>495</v>
      </c>
      <c r="H28" s="84" t="s">
        <v>158</v>
      </c>
      <c r="I28" s="84" t="s">
        <v>560</v>
      </c>
      <c r="J28" s="159" t="s">
        <v>699</v>
      </c>
      <c r="K28" s="158" t="s">
        <v>743</v>
      </c>
      <c r="L28" s="159" t="s">
        <v>641</v>
      </c>
      <c r="M28" s="222">
        <v>0</v>
      </c>
      <c r="N28" s="84" t="s">
        <v>181</v>
      </c>
    </row>
    <row r="29" spans="1:14" s="95" customFormat="1" ht="117.75" customHeight="1" thickTop="1" thickBot="1" x14ac:dyDescent="0.25">
      <c r="A29" s="98">
        <v>22</v>
      </c>
      <c r="B29" s="84" t="s">
        <v>28</v>
      </c>
      <c r="C29" s="84" t="s">
        <v>307</v>
      </c>
      <c r="D29" s="84" t="s">
        <v>564</v>
      </c>
      <c r="E29" s="84" t="s">
        <v>342</v>
      </c>
      <c r="F29" s="84">
        <v>60000</v>
      </c>
      <c r="G29" s="84" t="s">
        <v>150</v>
      </c>
      <c r="H29" s="84" t="s">
        <v>158</v>
      </c>
      <c r="I29" s="84" t="s">
        <v>563</v>
      </c>
      <c r="J29" s="159" t="s">
        <v>699</v>
      </c>
      <c r="K29" s="158" t="s">
        <v>743</v>
      </c>
      <c r="L29" s="159" t="s">
        <v>641</v>
      </c>
      <c r="M29" s="222">
        <v>0</v>
      </c>
      <c r="N29" s="84" t="s">
        <v>181</v>
      </c>
    </row>
    <row r="30" spans="1:14" s="112" customFormat="1" ht="72.75" customHeight="1" thickTop="1" thickBot="1" x14ac:dyDescent="0.25">
      <c r="A30" s="98">
        <v>22</v>
      </c>
      <c r="B30" s="84" t="s">
        <v>28</v>
      </c>
      <c r="C30" s="84" t="s">
        <v>307</v>
      </c>
      <c r="D30" s="84" t="s">
        <v>308</v>
      </c>
      <c r="E30" s="84" t="s">
        <v>309</v>
      </c>
      <c r="F30" s="84">
        <v>500000</v>
      </c>
      <c r="G30" s="84" t="s">
        <v>150</v>
      </c>
      <c r="H30" s="84" t="s">
        <v>149</v>
      </c>
      <c r="I30" s="84" t="s">
        <v>565</v>
      </c>
      <c r="J30" s="159" t="s">
        <v>816</v>
      </c>
      <c r="K30" s="159" t="s">
        <v>817</v>
      </c>
      <c r="L30" s="159" t="s">
        <v>818</v>
      </c>
      <c r="M30" s="222">
        <v>0</v>
      </c>
      <c r="N30" s="84" t="s">
        <v>14</v>
      </c>
    </row>
    <row r="31" spans="1:14" s="95" customFormat="1" ht="80.25" customHeight="1" thickTop="1" thickBot="1" x14ac:dyDescent="0.25">
      <c r="A31" s="98">
        <v>22</v>
      </c>
      <c r="B31" s="84" t="s">
        <v>28</v>
      </c>
      <c r="C31" s="84" t="s">
        <v>307</v>
      </c>
      <c r="D31" s="84" t="s">
        <v>310</v>
      </c>
      <c r="E31" s="84" t="s">
        <v>311</v>
      </c>
      <c r="F31" s="84">
        <v>400000</v>
      </c>
      <c r="G31" s="84" t="s">
        <v>150</v>
      </c>
      <c r="H31" s="84" t="s">
        <v>149</v>
      </c>
      <c r="I31" s="84" t="s">
        <v>566</v>
      </c>
      <c r="J31" s="159" t="s">
        <v>700</v>
      </c>
      <c r="K31" s="158" t="s">
        <v>743</v>
      </c>
      <c r="L31" s="159" t="s">
        <v>641</v>
      </c>
      <c r="M31" s="222">
        <v>0</v>
      </c>
      <c r="N31" s="84" t="s">
        <v>181</v>
      </c>
    </row>
    <row r="32" spans="1:14" s="95" customFormat="1" ht="108.75" customHeight="1" thickTop="1" thickBot="1" x14ac:dyDescent="0.25">
      <c r="A32" s="98">
        <v>22</v>
      </c>
      <c r="B32" s="84" t="s">
        <v>28</v>
      </c>
      <c r="C32" s="84" t="s">
        <v>307</v>
      </c>
      <c r="D32" s="84" t="s">
        <v>312</v>
      </c>
      <c r="E32" s="84" t="s">
        <v>313</v>
      </c>
      <c r="F32" s="84">
        <v>100000</v>
      </c>
      <c r="G32" s="84" t="s">
        <v>152</v>
      </c>
      <c r="H32" s="84" t="s">
        <v>158</v>
      </c>
      <c r="I32" s="84" t="s">
        <v>567</v>
      </c>
      <c r="J32" s="159" t="s">
        <v>701</v>
      </c>
      <c r="K32" s="158" t="s">
        <v>743</v>
      </c>
      <c r="L32" s="159" t="s">
        <v>641</v>
      </c>
      <c r="M32" s="222">
        <v>0</v>
      </c>
      <c r="N32" s="84" t="s">
        <v>181</v>
      </c>
    </row>
    <row r="33" spans="1:14" ht="13.5" thickTop="1" x14ac:dyDescent="0.2">
      <c r="A33" s="111"/>
      <c r="B33" s="112"/>
      <c r="C33" s="112"/>
      <c r="D33" s="112"/>
      <c r="E33" s="112"/>
      <c r="F33" s="111"/>
      <c r="G33" s="112"/>
      <c r="H33" s="112"/>
      <c r="I33" s="112"/>
      <c r="J33" s="112"/>
      <c r="K33" s="112"/>
      <c r="L33" s="112"/>
      <c r="M33" s="227"/>
      <c r="N33" s="112"/>
    </row>
  </sheetData>
  <mergeCells count="12">
    <mergeCell ref="I2:I3"/>
    <mergeCell ref="N2:N3"/>
    <mergeCell ref="A1:N1"/>
    <mergeCell ref="A2:A3"/>
    <mergeCell ref="B2:B3"/>
    <mergeCell ref="C2:C3"/>
    <mergeCell ref="D2:D3"/>
    <mergeCell ref="E2:E3"/>
    <mergeCell ref="F2:F3"/>
    <mergeCell ref="G2:G3"/>
    <mergeCell ref="H2:H3"/>
    <mergeCell ref="J2:J3"/>
  </mergeCells>
  <pageMargins left="0.70866141732283472" right="0.70866141732283472" top="0.74803149606299213" bottom="0.74803149606299213" header="0.31496062992125984" footer="0.31496062992125984"/>
  <pageSetup paperSize="9" scale="70" fitToHeight="0" orientation="landscape" r:id="rId1"/>
  <headerFooter>
    <oddFooter>&amp;L&amp;N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19</vt:i4>
      </vt:variant>
    </vt:vector>
  </HeadingPairs>
  <TitlesOfParts>
    <vt:vector size="46" baseType="lpstr">
      <vt:lpstr>COVER</vt:lpstr>
      <vt:lpstr>Table of Content</vt:lpstr>
      <vt:lpstr>Introduction</vt:lpstr>
      <vt:lpstr>Other Legislations</vt:lpstr>
      <vt:lpstr>Strategy</vt:lpstr>
      <vt:lpstr>MTOD KPI's</vt:lpstr>
      <vt:lpstr>MTOD PROJECTS</vt:lpstr>
      <vt:lpstr>BSD PROJECTS</vt:lpstr>
      <vt:lpstr>LED PROJECTS</vt:lpstr>
      <vt:lpstr>MFMV KPI</vt:lpstr>
      <vt:lpstr>MFMV PROJECTS</vt:lpstr>
      <vt:lpstr>GGPP PROJECTS</vt:lpstr>
      <vt:lpstr>GGPP KPI's</vt:lpstr>
      <vt:lpstr>ROLL OVER PROJECTS</vt:lpstr>
      <vt:lpstr>SDBIP summary</vt:lpstr>
      <vt:lpstr>Finance Report</vt:lpstr>
      <vt:lpstr>Capital Projects</vt:lpstr>
      <vt:lpstr>Expendirure</vt:lpstr>
      <vt:lpstr>Icome</vt:lpstr>
      <vt:lpstr>Salaries</vt:lpstr>
      <vt:lpstr>Overtime</vt:lpstr>
      <vt:lpstr>Cash Flow</vt:lpstr>
      <vt:lpstr>Bank Balances</vt:lpstr>
      <vt:lpstr>Debtors</vt:lpstr>
      <vt:lpstr>FBE</vt:lpstr>
      <vt:lpstr>Grants</vt:lpstr>
      <vt:lpstr>Conclusion</vt:lpstr>
      <vt:lpstr>COVER!OLE_LINK1</vt:lpstr>
      <vt:lpstr>'BSD PROJECTS'!Print_Area</vt:lpstr>
      <vt:lpstr>COVER!Print_Area</vt:lpstr>
      <vt:lpstr>Expendirure!Print_Area</vt:lpstr>
      <vt:lpstr>'Finance Report'!Print_Area</vt:lpstr>
      <vt:lpstr>'GGPP PROJECTS'!Print_Area</vt:lpstr>
      <vt:lpstr>Introduction!Print_Area</vt:lpstr>
      <vt:lpstr>'LED PROJECTS'!Print_Area</vt:lpstr>
      <vt:lpstr>'MFMV KPI'!Print_Area</vt:lpstr>
      <vt:lpstr>'MFMV PROJECTS'!Print_Area</vt:lpstr>
      <vt:lpstr>'MTOD KPI''s'!Print_Area</vt:lpstr>
      <vt:lpstr>'MTOD PROJECTS'!Print_Area</vt:lpstr>
      <vt:lpstr>'ROLL OVER PROJECTS'!Print_Area</vt:lpstr>
      <vt:lpstr>'SDBIP summary'!Print_Area</vt:lpstr>
      <vt:lpstr>Strategy!Print_Area</vt:lpstr>
      <vt:lpstr>'BSD PROJECTS'!Print_Titles</vt:lpstr>
      <vt:lpstr>'GGPP KPI''s'!Print_Titles</vt:lpstr>
      <vt:lpstr>'GGPP PROJECTS'!Print_Titles</vt:lpstr>
      <vt:lpstr>'MTOD KPI''s'!Print_Titles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Louisa</dc:creator>
  <cp:lastModifiedBy>Bertha  Letsoalo</cp:lastModifiedBy>
  <cp:lastPrinted>2015-05-11T08:11:13Z</cp:lastPrinted>
  <dcterms:created xsi:type="dcterms:W3CDTF">2010-04-26T18:03:28Z</dcterms:created>
  <dcterms:modified xsi:type="dcterms:W3CDTF">2015-05-11T08:12:42Z</dcterms:modified>
</cp:coreProperties>
</file>